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15.xml" ContentType="application/vnd.openxmlformats-officedocument.spreadsheetml.worksheet+xml"/>
  <Override PartName="/xl/worksheets/sheet28.xml" ContentType="application/vnd.openxmlformats-officedocument.spreadsheetml.worksheet+xml"/>
  <Override PartName="/xl/worksheets/sheet1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Audit_trail" sheetId="2" state="visible" r:id="rId4"/>
    <sheet name="Wording_Ranks" sheetId="3" state="visible" r:id="rId5"/>
    <sheet name="Coverage_Summary" sheetId="4" state="visible" r:id="rId6"/>
    <sheet name="Claims_2025" sheetId="5" state="visible" r:id="rId7"/>
    <sheet name="Wording_Scores" sheetId="6" state="visible" r:id="rId8"/>
    <sheet name="Morbidity_anchors" sheetId="7" state="visible" r:id="rId9"/>
    <sheet name="Benefit_b" sheetId="8" state="visible" r:id="rId10"/>
    <sheet name="Discount_v" sheetId="9" state="visible" r:id="rId11"/>
    <sheet name="Premiums" sheetId="10" state="visible" r:id="rId12"/>
    <sheet name="q_inputs" sheetId="11" state="visible" r:id="rId13"/>
    <sheet name="EPV_cancer" sheetId="12" state="visible" r:id="rId14"/>
    <sheet name="EPV_noncancer" sheetId="13" state="visible" r:id="rId15"/>
    <sheet name="Fair_value" sheetId="14" state="visible" r:id="rId16"/>
    <sheet name="Prem_portfolio" sheetId="15" state="visible" r:id="rId17"/>
    <sheet name="Portfolio" sheetId="16" state="visible" r:id="rId18"/>
    <sheet name="Regression_05" sheetId="17" state="visible" r:id="rId19"/>
    <sheet name="Head_EPV_06" sheetId="18" state="visible" r:id="rId20"/>
    <sheet name="Sources_06" sheetId="19" state="visible" r:id="rId21"/>
    <sheet name="List_length_06" sheetId="20" state="visible" r:id="rId22"/>
    <sheet name="Tail_bounds" sheetId="21" state="visible" r:id="rId23"/>
    <sheet name="Marginal_06" sheetId="22" state="visible" r:id="rId24"/>
    <sheet name="Robustness_06" sheetId="23" state="visible" r:id="rId25"/>
    <sheet name="Concentration_06" sheetId="24" state="visible" r:id="rId26"/>
    <sheet name="Market_06" sheetId="25" state="visible" r:id="rId27"/>
    <sheet name="Bridge_05" sheetId="26" state="visible" r:id="rId28"/>
    <sheet name="Sensitivity_06" sheetId="27" state="visible" r:id="rId29"/>
    <sheet name="Corrections_05" sheetId="28" state="visible" r:id="rId30"/>
  </sheets>
  <definedNames>
    <definedName function="false" hidden="true" localSheetId="2" name="_xlnm._FilterDatabase" vbProcedure="false">Wording_Ranks!$A$1:$O$136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<sst xmlns="http://schemas.openxmlformats.org/spreadsheetml/2006/main" count="4497" uniqueCount="1412">
  <si>
    <t xml:space="preserve">MWP-2026-05 — Audit Workbook</t>
  </si>
  <si>
    <t xml:space="preserve">Serious Illness Cover in Ireland: Claims, Definitions and Fair Value for Consumers</t>
  </si>
  <si>
    <t xml:space="preserve">v4.0.0 release copy, revision 9 (2026-10-13) — §9.1/§9.2 erratum capture blocks added</t>
  </si>
  <si>
    <t xml:space="preserve">Version</t>
  </si>
  <si>
    <t xml:space="preserve">Audit engine and system of record for MWP-2026-05 (basis v1.6.0 per Erratum #2) and MWP-2026-06.</t>
  </si>
  <si>
    <t xml:space="preserve">Version date</t>
  </si>
  <si>
    <t xml:space="preserve">see file save date</t>
  </si>
  <si>
    <t xml:space="preserve">Author / series</t>
  </si>
  <si>
    <t xml:space="preserve">Mylife.ie Research</t>
  </si>
  <si>
    <t xml:space="preserve">Status</t>
  </si>
  <si>
    <t xml:space="preserve">Engine covers cancer (invasive + breast early-stage) + heart attack + stroke + MS + kidney failure. Pending refinements: stroke I61/I63/I64 (INAS), premium basis, non-breast in-situ, EIOPA rate lock, MS/ESKD age curves.</t>
  </si>
  <si>
    <t xml:space="preserve">Standing rule</t>
  </si>
  <si>
    <t xml:space="preserve">All calculation lives in the sheet as formulas. No figure is Python-computed and pasted as a value.</t>
  </si>
  <si>
    <t xml:space="preserve">Tabs in this version</t>
  </si>
  <si>
    <t xml:space="preserve">Wording_Ranks</t>
  </si>
  <si>
    <t xml:space="preserve">The 675-entry matrix (135 canonical headings x 5 providers). Rank 1=strongest .. 5=weakest, on policy/conditions wording ONLY. Coverage tier + Office E provisional flag per cell. This is the raw input the coverage-intensity coefficient w(i,j) will be derived from.</t>
  </si>
  <si>
    <t xml:space="preserve">Coverage_Summary</t>
  </si>
  <si>
    <t xml:space="preserve">Provider totals computed live (COUNTIFS / AVERAGEIF / COUNTIF) from Wording_Ranks, shown beside the figures published in the v1.2 report, with a difference column. All differences must read 0 (or OK) for the transcription to be proven correct.</t>
  </si>
  <si>
    <t xml:space="preserve">Claims_2025</t>
  </si>
  <si>
    <t xml:space="preserve">Source data from the mylife.ie 'Life Insurance Claims in Ireland - 2025' whole-of-market report (MCR-2025). Transcribed published figures (blue) with live totals, paid-rate gaps and reconciliations (black). TRANSPARENCY/MOTIVATION LAYER ONLY - not an EPV input; incidence comes from epidemiological sources, not claim volumes.</t>
  </si>
  <si>
    <t xml:space="preserve">Wording_Scores</t>
  </si>
  <si>
    <t xml:space="preserve">Coverage-intensity w(i,j) = coverage-gate(tier) x triggerability(rank), live from Wording_Ranks. Reconciles to Coverage_Summary.</t>
  </si>
  <si>
    <t xml:space="preserve">Morbidity_anchors</t>
  </si>
  <si>
    <t xml:space="preserve">Sourced national incidence anchors (NCRI 2019-21; NOCA stroke/MI; MS/ESKD) with GLOBOCAN cross-check. Crude age-band rates a documented gap - epidemiological sources only.</t>
  </si>
  <si>
    <t xml:space="preserve">Benefit_b</t>
  </si>
  <si>
    <t xml:space="preserve">Benefit fraction b(i,j) by coverage tier (Full=1; Partial provisional 0.50; Ancillary 0.10), live from Wording_Ranks. Reconciles to Coverage_Summary and Wording_Scores.</t>
  </si>
  <si>
    <t xml:space="preserve">Discount_v</t>
  </si>
  <si>
    <t xml:space="preserve">Discount factor v^t=(1+r)^-t; central r provisional, to source to EIOPA basis.</t>
  </si>
  <si>
    <t xml:space="preserve">Premiums</t>
  </si>
  <si>
    <t xml:space="preserve">Verified whole-of-market monthly quotes (BIS) for the reference life; A life-only, B life+SI 161k, C life+SI 322k; SI premium = B-A live (FV denominator). Unisex per EU Gender Directive.</t>
  </si>
  <si>
    <t xml:space="preserve">Source</t>
  </si>
  <si>
    <t xml:space="preserve">All-Illness Serious Illness Policy Conditions Ranking, Mylife.ie, v1.2, 27 April 2026 (135 headings, 675 entries). Ranks are wording-only; no price, premium, incidence or paid-rate input.</t>
  </si>
  <si>
    <t xml:space="preserve">Caveat carried</t>
  </si>
  <si>
    <t xml:space="preserve">Coverage matrix censused against current provider documents (Sept 2026, Erratum #2); office E head-family ranks are documentary (Part B), the in-situ rank provisional-flagged.</t>
  </si>
  <si>
    <t xml:space="preserve">Not advice</t>
  </si>
  <si>
    <t xml:space="preserve">Policy/conditions basis only. Not legal, medical, tax or actuarial advice.</t>
  </si>
  <si>
    <t xml:space="preserve">q_inputs</t>
  </si>
  <si>
    <t xml:space="preserve">Sourced NCRI incidence: invasive cancer (sex-split) + breast DCIS (early-stage). Cervix CIN3 / skin / melanoma in-situ excluded with documented reasons. q=1-exp(-rate/1e5) live; reconciles to anchors.</t>
  </si>
  <si>
    <t xml:space="preserve">EPV_cancer</t>
  </si>
  <si>
    <t xml:space="preserve">First sourced EPV - invasive-cancer component: EPV = w.b.S_SI.SUM q.v^t, age 35 / 30yr, both sexes. Cancer-only; not yet a full fair-value ratio.</t>
  </si>
  <si>
    <t xml:space="preserve">Fair_value</t>
  </si>
  <si>
    <t xml:space="preserve">Fair-value index FV = EPV / PV(SI premiums). Engine complete; currently invasive-cancer component only (a lower bound, scope-biased toward invasive-cancer-strong offices). Widens automatically as more families are added to q_inputs.</t>
  </si>
  <si>
    <t xml:space="preserve">EPV_noncancer</t>
  </si>
  <si>
    <t xml:space="preserve">Heart attack + stroke + MS + kidney failure EPV per provider. AMI/stroke broad-band sourced; MS/ESKD age curves modelled (flagged). Stroke = I60-I69 upper bound pending INAS I61/I63/I64.</t>
  </si>
  <si>
    <t xml:space="preserve">FV = EPV(cancer + non-cancer) / PV(SI premiums). Covers the majority of the book; directional, with documented interims (stroke, MS/ESKD, non-breast in-situ).</t>
  </si>
  <si>
    <t xml:space="preserve">-06 TABS (additive; no -05 cell altered; governing check Regression_05!B164). Tail_bounds: 52 certified upper bounds (HIPE 2025 / Census 2022; caps per office documents); group-once aggregation rows 147+. Marginal_06: per-heading values/intervals. Robustness_06: D13 placement-free envelopes (scenario captures, procedure in header). Concentration_06: CR-k, N90, any-ranking floors; full-policy block. Bridge_05: -05 v1.3.0 reconciliation. Sensitivity_06: discount scenarios (harness per E-52/E-53). Market_06: market Gini (certified set + head-only + w=1) and the exclusion exhibit. Sources_06: S01-S41. Corrections and decisions: erratum register (published companion).</t>
  </si>
  <si>
    <t xml:space="preserve">MWP-2026-05/-06 audit workbook — version history (release copy)</t>
  </si>
  <si>
    <t xml:space="preserve">v1.2.2 (2026) — as published with MWP-2026-05.</t>
  </si>
  <si>
    <t xml:space="preserve">v3.0.0 (Sept 2026) — MWP-2026-05 Erratum #1 basis (office D coding); -06 analysis tabs added.</t>
  </si>
  <si>
    <t xml:space="preserve">v4.0.0 (Sept 2026) — MWP-2026-05 Erratum #2 basis: coverage matrix censused against current provider documents; office E head-family ranks moved to documentary placements; head in-situ payment basis moved to contractual caps; full-policy ceiling corrected to the minimum-of-three form; validation and robustness panels added; base-row tie-outs folded into the governing check (Regression_05!B164).</t>
  </si>
  <si>
    <t xml:space="preserve">This is the release copy, revision 6 (revision 7: external gate review found abbreviated and hyphenated office identifiers in annotation cells and one provider URL missed by host filtering; all string surfaces swept and the whole archive verified clean at XML level; prior clearance claims were made on value-only scans and are superseded by this one)</t>
  </si>
  <si>
    <t xml:space="preserve">Governing checks: Regression_05!B164; Head_EPV_06!B85; Robustness_06!C11; Sensitivity_06!B11 and C20.</t>
  </si>
  <si>
    <t xml:space="preserve">2026-10-13 - §9.5 LIVE CHECK installed per the all-cells-live rule: equal-weighted market FV computed by formula per office against the CSO-weighted figures, per-office and master flags folded into the governing check. On the corrected basis the two weightings agree within 0.005 on every office and measure - the published 0.01 agreement holds and strengthens. Nothing in the workbook is now asserted; everything is computed or checked live.</t>
  </si>
  <si>
    <t xml:space="preserve">#</t>
  </si>
  <si>
    <t xml:space="preserve">Canonical heading</t>
  </si>
  <si>
    <t xml:space="preserve">Body system</t>
  </si>
  <si>
    <t xml:space="preserve">Likelihood band</t>
  </si>
  <si>
    <t xml:space="preserve">Office B rank</t>
  </si>
  <si>
    <t xml:space="preserve">Office B cover</t>
  </si>
  <si>
    <t xml:space="preserve">Office D rank</t>
  </si>
  <si>
    <t xml:space="preserve">Office D cover</t>
  </si>
  <si>
    <t xml:space="preserve">Office E rank</t>
  </si>
  <si>
    <t xml:space="preserve">Office E cover</t>
  </si>
  <si>
    <t xml:space="preserve">Office E rank flag</t>
  </si>
  <si>
    <t xml:space="preserve">Office A rank</t>
  </si>
  <si>
    <t xml:space="preserve">Office A cover</t>
  </si>
  <si>
    <t xml:space="preserve">Office C rank</t>
  </si>
  <si>
    <t xml:space="preserve">Office C cover</t>
  </si>
  <si>
    <t xml:space="preserve">Office D payment-precedence flag</t>
  </si>
  <si>
    <t xml:space="preserve">Hospital Cash Cover (Adult)</t>
  </si>
  <si>
    <t xml:space="preserve">Ancillary</t>
  </si>
  <si>
    <t xml:space="preserve">Not primarily illness claim</t>
  </si>
  <si>
    <t xml:space="preserve">Not covered</t>
  </si>
  <si>
    <t xml:space="preserve">Overseas Surgery Benefit</t>
  </si>
  <si>
    <t xml:space="preserve">Rare</t>
  </si>
  <si>
    <t xml:space="preserve">Accidental Death Benefit (Interim)</t>
  </si>
  <si>
    <t xml:space="preserve">Ancillary / Life</t>
  </si>
  <si>
    <t xml:space="preserve">Terminal Illness Early Payment (Life Cover)</t>
  </si>
  <si>
    <t xml:space="preserve">Medium</t>
  </si>
  <si>
    <t xml:space="preserve">Waiting List / Pre-Surgery Pre-Payment Benefit</t>
  </si>
  <si>
    <t xml:space="preserve">Ancillary / Surgery</t>
  </si>
  <si>
    <t xml:space="preserve">Low</t>
  </si>
  <si>
    <t xml:space="preserve">Yes</t>
  </si>
  <si>
    <t xml:space="preserve">Accident Cash Cover – Qualifying Injuries</t>
  </si>
  <si>
    <t xml:space="preserve">Ancillary / Trauma</t>
  </si>
  <si>
    <t xml:space="preserve">Serious Accident Cover (28+ days hospital)</t>
  </si>
  <si>
    <t xml:space="preserve">Partial</t>
  </si>
  <si>
    <t xml:space="preserve">Systemic Lupus Erythematosus (SLE) – with Severe Complications</t>
  </si>
  <si>
    <t xml:space="preserve">Autoimmune</t>
  </si>
  <si>
    <t xml:space="preserve">Full</t>
  </si>
  <si>
    <t xml:space="preserve">Chronic / Severe Rheumatoid Arthritis</t>
  </si>
  <si>
    <t xml:space="preserve">Autoimmune / Musculoskeletal</t>
  </si>
  <si>
    <t xml:space="preserve">Aorta Graft Surgery</t>
  </si>
  <si>
    <t xml:space="preserve">Cardiovascular</t>
  </si>
  <si>
    <t xml:space="preserve">Aortic Aneurysm – Endovascular Repair (Partial)</t>
  </si>
  <si>
    <t xml:space="preserve">Balloon Valvuloplasty</t>
  </si>
  <si>
    <t xml:space="preserve">Cardiac Arrest with Defibrillator Insertion</t>
  </si>
  <si>
    <t xml:space="preserve">Cardiomyopathy – of Specified Severity</t>
  </si>
  <si>
    <t xml:space="preserve">Carotid Artery Stenosis – Treated by Endarterectomy or Angioplasty</t>
  </si>
  <si>
    <t xml:space="preserve">Coronary Angioplasty (Partial Payment)</t>
  </si>
  <si>
    <t xml:space="preserve">High</t>
  </si>
  <si>
    <t xml:space="preserve">Coronary Angioplasty – Single Vessel</t>
  </si>
  <si>
    <t xml:space="preserve">Coronary Angioplasty – Two or More Vessels</t>
  </si>
  <si>
    <t xml:space="preserve">Coronary Artery Bypass Graft (CABG) – Open Surgery</t>
  </si>
  <si>
    <t xml:space="preserve">Heart Attack – of Specified Severity</t>
  </si>
  <si>
    <t xml:space="preserve">Documented (E-110)</t>
  </si>
  <si>
    <t xml:space="preserve">Heart Failure</t>
  </si>
  <si>
    <t xml:space="preserve">Heart Structural Repair</t>
  </si>
  <si>
    <t xml:space="preserve">Heart Valve Replacement or Repair</t>
  </si>
  <si>
    <t xml:space="preserve">Implantable Cardioverter Defibrillator (ICD) – for Primary Prevention</t>
  </si>
  <si>
    <t xml:space="preserve">Open Heart Surgery – with Surgery to Divide the Breastbone</t>
  </si>
  <si>
    <t xml:space="preserve">Peripheral Vascular Disease – with Surgery or Angioplasty</t>
  </si>
  <si>
    <t xml:space="preserve">Permanent Pacemaker Insertion</t>
  </si>
  <si>
    <t xml:space="preserve">Pulmonary Artery Graft / Replacement Surgery</t>
  </si>
  <si>
    <t xml:space="preserve">Advance Payment for Heart Surgery</t>
  </si>
  <si>
    <t xml:space="preserve">Cardiovascular / Ancillary</t>
  </si>
  <si>
    <t xml:space="preserve">Cerebral Aneurysm – with Surgical Repair</t>
  </si>
  <si>
    <t xml:space="preserve">Cardiovascular / Neurological</t>
  </si>
  <si>
    <t xml:space="preserve">Cerebral Arteriovenous Malformation – Requiring Surgery</t>
  </si>
  <si>
    <t xml:space="preserve">Cerebral or Spinal Aneurysm – with Surgical Repair</t>
  </si>
  <si>
    <t xml:space="preserve">Cerebral or Spinal Arteriovenous Malformation – Requiring Surgery</t>
  </si>
  <si>
    <t xml:space="preserve">Stroke – Resulting in Specified Symptoms</t>
  </si>
  <si>
    <t xml:space="preserve">Primary Pulmonary Hypertension – of Specified Severity</t>
  </si>
  <si>
    <t xml:space="preserve">Cardiovascular / Respiratory</t>
  </si>
  <si>
    <t xml:space="preserve">Central Retinal Artery/Vein Occlusion (Eye Stroke)</t>
  </si>
  <si>
    <t xml:space="preserve">Cardiovascular / Sensory</t>
  </si>
  <si>
    <t xml:space="preserve">Child Overseas Surgery Benefit</t>
  </si>
  <si>
    <t xml:space="preserve">Children's / Ancillary</t>
  </si>
  <si>
    <t xml:space="preserve">Child-only</t>
  </si>
  <si>
    <t xml:space="preserve">Children's Hospital Cash Cover</t>
  </si>
  <si>
    <t xml:space="preserve">Children's Life Cover</t>
  </si>
  <si>
    <t xml:space="preserve">Children's Partial Payment Serious Illness Benefit</t>
  </si>
  <si>
    <t xml:space="preserve">Children's Specified Illness Cover</t>
  </si>
  <si>
    <t xml:space="preserve">Intensive Care – Mechanical Ventilation 10+ Days</t>
  </si>
  <si>
    <t xml:space="preserve">Critical Care</t>
  </si>
  <si>
    <t xml:space="preserve">Type 1 Diabetes Mellitus</t>
  </si>
  <si>
    <t xml:space="preserve">Endocrine</t>
  </si>
  <si>
    <t xml:space="preserve">Loss of Independent Existence – Permanent and Irreversible</t>
  </si>
  <si>
    <t xml:space="preserve">Functional / ADL</t>
  </si>
  <si>
    <t xml:space="preserve">Total and Permanent Disability (TPD)</t>
  </si>
  <si>
    <t xml:space="preserve">Paralysis of One Limb – Total and Irreversible</t>
  </si>
  <si>
    <t xml:space="preserve">Functional / Neurological</t>
  </si>
  <si>
    <t xml:space="preserve">Paralysis – Total Loss of Limb Function</t>
  </si>
  <si>
    <t xml:space="preserve">Loss of Hand or Foot – Permanent Physical Severance</t>
  </si>
  <si>
    <t xml:space="preserve">Functional / Trauma</t>
  </si>
  <si>
    <t xml:space="preserve">Loss of One Limb – Permanent Physical Severance</t>
  </si>
  <si>
    <t xml:space="preserve">Chronic Pancreatitis</t>
  </si>
  <si>
    <t xml:space="preserve">Gastrointestinal</t>
  </si>
  <si>
    <t xml:space="preserve">Crohn's Disease – Severe / with Surgical Resection</t>
  </si>
  <si>
    <t xml:space="preserve">Short Bowel Syndrome – Requiring Permanent Total Parenteral Nutrition</t>
  </si>
  <si>
    <t xml:space="preserve">Ulcerative Colitis – Treated with Total Colectomy</t>
  </si>
  <si>
    <t xml:space="preserve">Aplastic Anaemia – of Specified Severity</t>
  </si>
  <si>
    <t xml:space="preserve">Haematological</t>
  </si>
  <si>
    <t xml:space="preserve">Disseminated Intravascular Coagulation (DIC)</t>
  </si>
  <si>
    <t xml:space="preserve">Liver Failure – End Stage</t>
  </si>
  <si>
    <t xml:space="preserve">Hepatic</t>
  </si>
  <si>
    <t xml:space="preserve">Liver Resection</t>
  </si>
  <si>
    <t xml:space="preserve">Primary Sclerosing Cholangitis – of Specified Severity</t>
  </si>
  <si>
    <t xml:space="preserve">Hepatic / GI</t>
  </si>
  <si>
    <t xml:space="preserve">HIV Infection (Occupational / Transfusion / Assault)</t>
  </si>
  <si>
    <t xml:space="preserve">Infectious</t>
  </si>
  <si>
    <t xml:space="preserve">Necrotising Fasciitis</t>
  </si>
  <si>
    <t xml:space="preserve">Severe Sepsis</t>
  </si>
  <si>
    <t xml:space="preserve">Brain Injury Due to Anoxia or Hypoxia</t>
  </si>
  <si>
    <t xml:space="preserve">Neurological</t>
  </si>
  <si>
    <t xml:space="preserve">Cauda Equina Syndrome</t>
  </si>
  <si>
    <t xml:space="preserve">Coma – Resulting in Permanent Symptoms</t>
  </si>
  <si>
    <t xml:space="preserve">Creutzfeldt-Jakob Disease (CJD)</t>
  </si>
  <si>
    <t xml:space="preserve">Drug-Resistant Epilepsy</t>
  </si>
  <si>
    <t xml:space="preserve">Guillain-Barré Syndrome</t>
  </si>
  <si>
    <t xml:space="preserve">Motor Neurone Disease – Resulting in Permanent Symptoms</t>
  </si>
  <si>
    <t xml:space="preserve">Multiple Sclerosis (incl. NMO/Devic's Disease) – with Persisting Symptoms</t>
  </si>
  <si>
    <t xml:space="preserve">Multiple System Atrophy</t>
  </si>
  <si>
    <t xml:space="preserve">Muscular Dystrophy</t>
  </si>
  <si>
    <t xml:space="preserve">Myasthenia Gravis</t>
  </si>
  <si>
    <t xml:space="preserve">Parkinson Plus Syndromes</t>
  </si>
  <si>
    <t xml:space="preserve">Parkinson's Disease – Resulting in Permanent Symptoms</t>
  </si>
  <si>
    <t xml:space="preserve">Progressive Supranuclear Palsy</t>
  </si>
  <si>
    <t xml:space="preserve">Syringomyelia or Syringobulbia</t>
  </si>
  <si>
    <t xml:space="preserve">Cerebral Palsy</t>
  </si>
  <si>
    <t xml:space="preserve">Neurological / Congenital</t>
  </si>
  <si>
    <t xml:space="preserve">Spina Bifida</t>
  </si>
  <si>
    <t xml:space="preserve">Alzheimer's Disease / Dementia – Resulting in Permanent Symptoms</t>
  </si>
  <si>
    <t xml:space="preserve">Neurological / Dementia</t>
  </si>
  <si>
    <t xml:space="preserve">Bacterial Meningitis – Resulting in Permanent Symptoms</t>
  </si>
  <si>
    <t xml:space="preserve">Neurological / Infectious</t>
  </si>
  <si>
    <t xml:space="preserve">Brain Abscess – Drained via Craniotomy</t>
  </si>
  <si>
    <t xml:space="preserve">Encephalitis – Resulting in Permanent Symptoms</t>
  </si>
  <si>
    <t xml:space="preserve">Benign Brain Tumour – of Specified Severity</t>
  </si>
  <si>
    <t xml:space="preserve">Neurological / Oncology</t>
  </si>
  <si>
    <t xml:space="preserve">Benign Spinal Cord Tumour</t>
  </si>
  <si>
    <t xml:space="preserve">Pituitary Gland Tumour</t>
  </si>
  <si>
    <t xml:space="preserve">Traumatic Brain / Head Injury – Resulting in Permanent Symptoms</t>
  </si>
  <si>
    <t xml:space="preserve">Neurological / Trauma</t>
  </si>
  <si>
    <t xml:space="preserve">Cancer (Invasive) – Excluding Less Advanced Cases</t>
  </si>
  <si>
    <t xml:space="preserve">Oncology / Cancer</t>
  </si>
  <si>
    <t xml:space="preserve">Carcinoma in Situ – Anus</t>
  </si>
  <si>
    <t xml:space="preserve">Carcinoma in Situ – Bile Ducts</t>
  </si>
  <si>
    <t xml:space="preserve">Carcinoma in Situ – Breast</t>
  </si>
  <si>
    <t xml:space="preserve">Carcinoma in Situ – Cervix</t>
  </si>
  <si>
    <t xml:space="preserve">Carcinoma in Situ – Colon or Rectum</t>
  </si>
  <si>
    <t xml:space="preserve">Carcinoma in Situ – Gallbladder</t>
  </si>
  <si>
    <t xml:space="preserve">Carcinoma in Situ – Larynx</t>
  </si>
  <si>
    <t xml:space="preserve">Carcinoma in Situ – Lung/Bronchus</t>
  </si>
  <si>
    <t xml:space="preserve">Carcinoma in Situ – Oesophagus</t>
  </si>
  <si>
    <t xml:space="preserve">Carcinoma in Situ – Oral Cavity/Oropharynx</t>
  </si>
  <si>
    <t xml:space="preserve">Carcinoma in Situ – Other Sites</t>
  </si>
  <si>
    <t xml:space="preserve">Carcinoma in Situ – Pancreas</t>
  </si>
  <si>
    <t xml:space="preserve">Carcinoma in Situ – Renal Pelvis/Ureter</t>
  </si>
  <si>
    <t xml:space="preserve">Carcinoma in Situ – Stomach</t>
  </si>
  <si>
    <t xml:space="preserve">Carcinoma in Situ – Testicle</t>
  </si>
  <si>
    <t xml:space="preserve">Carcinoma in Situ – Thymus</t>
  </si>
  <si>
    <t xml:space="preserve">Carcinoma in Situ – Urinary Bladder</t>
  </si>
  <si>
    <t xml:space="preserve">Carcinoma in Situ – Uterus</t>
  </si>
  <si>
    <t xml:space="preserve">Carcinoma in Situ – Vagina</t>
  </si>
  <si>
    <t xml:space="preserve">Carcinoma in Situ – Vulva</t>
  </si>
  <si>
    <t xml:space="preserve">Desmoid-Type Fibromatosis</t>
  </si>
  <si>
    <t xml:space="preserve">GIST – Low Malignant Potential</t>
  </si>
  <si>
    <t xml:space="preserve">Hydatidiform Mole</t>
  </si>
  <si>
    <t xml:space="preserve">Neuroendocrine Tumour – Low Malignant Potential</t>
  </si>
  <si>
    <t xml:space="preserve">Ovarian Tumour – Borderline / Low Malignant Potential</t>
  </si>
  <si>
    <t xml:space="preserve">Primary Cutaneous Lymphoma</t>
  </si>
  <si>
    <t xml:space="preserve">30-day Related Claim Restriction (Operational)</t>
  </si>
  <si>
    <t xml:space="preserve">Operational / Wording</t>
  </si>
  <si>
    <t xml:space="preserve">Eclampsia (Pregnancy)</t>
  </si>
  <si>
    <t xml:space="preserve">Pregnancy / Female-only</t>
  </si>
  <si>
    <t xml:space="preserve">Ectopic Pregnancy</t>
  </si>
  <si>
    <t xml:space="preserve">Foetal Death in Utero (&gt;=20 weeks)</t>
  </si>
  <si>
    <t xml:space="preserve">Placental Abruption</t>
  </si>
  <si>
    <t xml:space="preserve">Severe Mental Illness</t>
  </si>
  <si>
    <t xml:space="preserve">Psychiatric</t>
  </si>
  <si>
    <t xml:space="preserve">Kidney Failure – Requiring Dialysis</t>
  </si>
  <si>
    <t xml:space="preserve">Renal</t>
  </si>
  <si>
    <t xml:space="preserve">Interstitial Lung Disease</t>
  </si>
  <si>
    <t xml:space="preserve">Respiratory</t>
  </si>
  <si>
    <t xml:space="preserve">Respiratory Failure</t>
  </si>
  <si>
    <t xml:space="preserve">Severe / Chronic Lung Disease</t>
  </si>
  <si>
    <t xml:space="preserve">Cystic Fibrosis</t>
  </si>
  <si>
    <t xml:space="preserve">Respiratory / Genetic</t>
  </si>
  <si>
    <t xml:space="preserve">Single Lobectomy – for Disease or Trauma (Partial)</t>
  </si>
  <si>
    <t xml:space="preserve">Respiratory / Surgery</t>
  </si>
  <si>
    <t xml:space="preserve">Total Pneumonectomy</t>
  </si>
  <si>
    <t xml:space="preserve">Blindness – Permanent and Irreversible</t>
  </si>
  <si>
    <t xml:space="preserve">Sensory</t>
  </si>
  <si>
    <t xml:space="preserve">Deafness – Permanent and Irreversible</t>
  </si>
  <si>
    <t xml:space="preserve">Significant Visual Impairment – Permanent and Irreversible</t>
  </si>
  <si>
    <t xml:space="preserve">Surgical Removal of One Eye</t>
  </si>
  <si>
    <t xml:space="preserve">Loss of Speech – Permanent and Irreversible</t>
  </si>
  <si>
    <t xml:space="preserve">Sensory / Neurological</t>
  </si>
  <si>
    <t xml:space="preserve">Donor Recipient Cover</t>
  </si>
  <si>
    <t xml:space="preserve">Transplant</t>
  </si>
  <si>
    <t xml:space="preserve">Major Organ Transplant</t>
  </si>
  <si>
    <t xml:space="preserve">Third-Degree Burns – Major (&gt;=20% body / 50% face)</t>
  </si>
  <si>
    <t xml:space="preserve">Trauma / Burns</t>
  </si>
  <si>
    <t xml:space="preserve">Cystectomy – Complete Removal of the Urinary Bladder</t>
  </si>
  <si>
    <t xml:space="preserve">Urological / Surgery</t>
  </si>
  <si>
    <t xml:space="preserve">Provider coverage summary — computed live from Wording_Ranks, validated vs v1.2 report (p.5)</t>
  </si>
  <si>
    <t xml:space="preserve">Computed cells are COUNTIFS / AVERAGEIF / COUNTIF over the 135-row matrix. 'Diff' vs published must be 0 / OK.</t>
  </si>
  <si>
    <t xml:space="preserve">COMPUTED (live from Wording_Ranks)</t>
  </si>
  <si>
    <t xml:space="preserve">Provider</t>
  </si>
  <si>
    <t xml:space="preserve">Booster</t>
  </si>
  <si>
    <t xml:space="preserve">Total</t>
  </si>
  <si>
    <t xml:space="preserve">Avg rank</t>
  </si>
  <si>
    <t xml:space="preserve">% rank-1</t>
  </si>
  <si>
    <t xml:space="preserve">Office B</t>
  </si>
  <si>
    <t xml:space="preserve">Office D</t>
  </si>
  <si>
    <t xml:space="preserve">Office E</t>
  </si>
  <si>
    <t xml:space="preserve">Office A</t>
  </si>
  <si>
    <t xml:space="preserve">Office C</t>
  </si>
  <si>
    <t xml:space="preserve">PUBLISHED (v1.2 report, p.5)</t>
  </si>
  <si>
    <t xml:space="preserve">DIFFERENCE (computed − published) — all must be 0 / OK</t>
  </si>
  <si>
    <t xml:space="preserve">OVERALL CHECK</t>
  </si>
  <si>
    <t xml:space="preserve">Claims_2025 — REDACTED IN THE RELEASE COPY</t>
  </si>
  <si>
    <t xml:space="preserve">The whole-of-market claims compilation pairs public per-office figures with identities and is held in the internal system of record. Its aggregate findings appear in the validation panel (Sensitivity_06) and the paper's §4.4; bona-fide verification is available per the paper's Appendix F.</t>
  </si>
  <si>
    <t xml:space="preserve">Wording_Scores - coverage-intensity coefficient w(i,j)</t>
  </si>
  <si>
    <t xml:space="preserve">Constructed research variable. w(i,j) is derived LIVE from Wording_Ranks (the public v1.2 matrix). Rank -&gt; triggerability; cover tier -&gt; coverage gate. Benefit fraction (Full vs Partial) is a SEPARATE input (Benefit tab), not part of w.</t>
  </si>
  <si>
    <t xml:space="preserve">Mapping parameters (adjustable inputs)</t>
  </si>
  <si>
    <t xml:space="preserve">Triggerability by rank - w for a covered illness</t>
  </si>
  <si>
    <t xml:space="preserve">Rank 1 (strongest wording)</t>
  </si>
  <si>
    <t xml:space="preserve">Rank 2</t>
  </si>
  <si>
    <t xml:space="preserve">Rank 3</t>
  </si>
  <si>
    <t xml:space="preserve">Rank 4</t>
  </si>
  <si>
    <t xml:space="preserve">Rank 5 (weakest wording)</t>
  </si>
  <si>
    <t xml:space="preserve">Not covered / Child-only (gate)</t>
  </si>
  <si>
    <t xml:space="preserve">w = 0 if cover tier is 'Not covered' or 'Child-only' (adult model). Full / Partial / Booster / Ancillary = covered, so w = TRIG(rank).</t>
  </si>
  <si>
    <t xml:space="preserve">TRIG is a linear ordinal inversion, (6 - rank)/5. It is a paper-specific construct, not a republication of proprietary scores. Held as adjustable inputs for sensitivity testing.</t>
  </si>
  <si>
    <t xml:space="preserve">Coverage-intensity coefficient w(i,j), by canonical heading</t>
  </si>
  <si>
    <t xml:space="preserve">Provider summary - coverage-intensity</t>
  </si>
  <si>
    <t xml:space="preserve">Covered (w&gt;0)</t>
  </si>
  <si>
    <t xml:space="preserve">Mean w (all 135)</t>
  </si>
  <si>
    <t xml:space="preserve">Mean w (covered)</t>
  </si>
  <si>
    <t xml:space="preserve">Cover-summary covered</t>
  </si>
  <si>
    <t xml:space="preserve">Diff</t>
  </si>
  <si>
    <t xml:space="preserve">MASTER VALIDATION</t>
  </si>
  <si>
    <t xml:space="preserve">Cover-summary covered = Full + Partial + Booster + Ancillary from Coverage_Summary (excludes Child-only and Not covered). Count of w&gt;0 must equal it, proving the coverage gate is consistent with the validated coverage counts.</t>
  </si>
  <si>
    <t xml:space="preserve">Mean w (all 135) reflects breadth x wording strength (0 where no cover). Mean w (covered) reflects wording strength where cover exists. Both are constructed summaries, not published figures.</t>
  </si>
  <si>
    <t xml:space="preserve">Morbidity_anchors - sourced national incidence anchors</t>
  </si>
  <si>
    <t xml:space="preserve">SOURCED national anchors only. Crude 5-year-band, sex-specific incidence RATES (the q inputs) are a documented GAP - see the status box below.</t>
  </si>
  <si>
    <t xml:space="preserve">Firewall</t>
  </si>
  <si>
    <t xml:space="preserve">Incidence is built from epidemiological / population sources ONLY (NCRI, GLOBOCAN, NOCA, ERA). Insurer claims data are NOT used to build incidence - claims are an ex-post sanity check only (see Claims_2025).</t>
  </si>
  <si>
    <t xml:space="preserve">Legend</t>
  </si>
  <si>
    <t xml:space="preserve">Blue = transcribed from source (hardcoded).  Black = live formula.  Amber = documented GAP / pending pull.</t>
  </si>
  <si>
    <t xml:space="preserve">VINTAGE DECISION (to lock when age-bands are pulled)</t>
  </si>
  <si>
    <t xml:space="preserve">Age-band rates and the national anchor must come from ONE consistent period so they reconcile. Recommended: a single NCRI period, matched to the band pull; GLOBOCAN 2022 retained as CROSS-CHECK only. NCRI 2019-2021 carries a documented COVID diagnosis shortfall (approx -4% 2021, -9% 2022 provisional) - confirm the period when bands are pulled.</t>
  </si>
  <si>
    <t xml:space="preserve">1. Cancer - NCRI 2019-2021 registry actuals vs GLOBOCAN 2022 (national)</t>
  </si>
  <si>
    <t xml:space="preserve">Source: NCRI, Cancer in Ireland 1994-2021: Annual Statistical Report (2023), Appendix I; 3-yr average 2019-2021; accessed 21 Jul 2026. GLOBOCAN 2022 (IARC v1.1) as cross-check.</t>
  </si>
  <si>
    <t xml:space="preserve">Family</t>
  </si>
  <si>
    <t xml:space="preserve">ICD-10</t>
  </si>
  <si>
    <t xml:space="preserve">NCRI M</t>
  </si>
  <si>
    <t xml:space="preserve">NCRI F</t>
  </si>
  <si>
    <t xml:space="preserve">NCRI total</t>
  </si>
  <si>
    <t xml:space="preserve">NCRI risk to 75</t>
  </si>
  <si>
    <t xml:space="preserve">GLOBOCAN 2022</t>
  </si>
  <si>
    <t xml:space="preserve">Divergence</t>
  </si>
  <si>
    <t xml:space="preserve">Breast (female)</t>
  </si>
  <si>
    <t xml:space="preserve">C50</t>
  </si>
  <si>
    <t xml:space="preserve">1 in 11 (9.1%)</t>
  </si>
  <si>
    <t xml:space="preserve">Cervix</t>
  </si>
  <si>
    <t xml:space="preserve">C53</t>
  </si>
  <si>
    <t xml:space="preserve">1 in 141 (0.71%)</t>
  </si>
  <si>
    <t xml:space="preserve">Ovary</t>
  </si>
  <si>
    <t xml:space="preserve">C56</t>
  </si>
  <si>
    <t xml:space="preserve">1 in 101 (0.99%)</t>
  </si>
  <si>
    <t xml:space="preserve">Corpus uteri</t>
  </si>
  <si>
    <t xml:space="preserve">C54</t>
  </si>
  <si>
    <t xml:space="preserve">1 in 64 (1.56%)</t>
  </si>
  <si>
    <t xml:space="preserve">Prostate</t>
  </si>
  <si>
    <t xml:space="preserve">C61</t>
  </si>
  <si>
    <t xml:space="preserve">1 in 9 (11.1%)</t>
  </si>
  <si>
    <t xml:space="preserve">Colorectal</t>
  </si>
  <si>
    <t xml:space="preserve">C18-C20</t>
  </si>
  <si>
    <t xml:space="preserve">M 3.3% / F 2.3%</t>
  </si>
  <si>
    <t xml:space="preserve">Lung</t>
  </si>
  <si>
    <t xml:space="preserve">C34</t>
  </si>
  <si>
    <t xml:space="preserve">M 3.2% / F 2.9%</t>
  </si>
  <si>
    <t xml:space="preserve">Families 1-7 subtotal</t>
  </si>
  <si>
    <t xml:space="preserve">All invasive excl. NMSC</t>
  </si>
  <si>
    <t xml:space="preserve">M 1 in 3 / F 1 in 4</t>
  </si>
  <si>
    <t xml:space="preserve">Residual = family 8 (other)</t>
  </si>
  <si>
    <t xml:space="preserve">derived by subtraction so the cancer block reconciles to the all-sites anchor</t>
  </si>
  <si>
    <t xml:space="preserve">Actionable: GLOBOCAN-2022 runs ~5-26% above NCRI 2019-21 actuals (2022 projection + COVID dip). Lock ONE vintage before transcribing bands; GLOBOCAN as cross-check only.</t>
  </si>
  <si>
    <t xml:space="preserve">2. Cardiovascular - national anchors</t>
  </si>
  <si>
    <t xml:space="preserve">Anchor</t>
  </si>
  <si>
    <t xml:space="preserve">Value</t>
  </si>
  <si>
    <t xml:space="preserve">Source (dated)</t>
  </si>
  <si>
    <t xml:space="preserve">Acute MI (all) - hospital admissions</t>
  </si>
  <si>
    <t xml:space="preserve">~6,000 / yr</t>
  </si>
  <si>
    <t xml:space="preserve">NOCA IHAA 2022 &amp; 2023 (pub. Dec 2024)</t>
  </si>
  <si>
    <t xml:space="preserve">  - IHAA scope caveat</t>
  </si>
  <si>
    <t xml:space="preserve">PCI-treated STEMI only (~1/4 of MIs); NSTEMI/UA not collected</t>
  </si>
  <si>
    <t xml:space="preserve">HIQA IHAA data profile</t>
  </si>
  <si>
    <t xml:space="preserve">Stroke admissions (I61/I63/I64)</t>
  </si>
  <si>
    <t xml:space="preserve">5,961 (2022)</t>
  </si>
  <si>
    <t xml:space="preserve">NOCA INAS National Report 2022</t>
  </si>
  <si>
    <t xml:space="preserve">  - stroke type split</t>
  </si>
  <si>
    <t xml:space="preserve">ischaemic 85% / haemorrhagic 15%</t>
  </si>
  <si>
    <t xml:space="preserve">NOCA INAS 2022</t>
  </si>
  <si>
    <t xml:space="preserve">  - stroke sex / age</t>
  </si>
  <si>
    <t xml:space="preserve">57% M (mean 70) / 43% F (mean 75); median 74</t>
  </si>
  <si>
    <t xml:space="preserve">  - stroke scope</t>
  </si>
  <si>
    <t xml:space="preserve">excludes TIA, SAH (I60), subdural (I62)</t>
  </si>
  <si>
    <t xml:space="preserve">HIQA INAS data profile</t>
  </si>
  <si>
    <t xml:space="preserve">AMI age/sex incidence: pull HIPE I21-I22 by band / CSO population (IHAA cannot supply it). GAP.</t>
  </si>
  <si>
    <t xml:space="preserve">3. Neurological / organ failure - national anchors</t>
  </si>
  <si>
    <t xml:space="preserve">Multiple sclerosis - ROI ASIR</t>
  </si>
  <si>
    <t xml:space="preserve">~6.0 / 100,000 / yr (292 cases, 2014-15)</t>
  </si>
  <si>
    <t xml:space="preserve">O'Connell et al., Mult Scler Relat Disord 2017</t>
  </si>
  <si>
    <t xml:space="preserve">  - MS onset profile</t>
  </si>
  <si>
    <t xml:space="preserve">mean onset ~31-32; F:M approx 2-3:1</t>
  </si>
  <si>
    <t xml:space="preserve">O'Connell 2017</t>
  </si>
  <si>
    <t xml:space="preserve">ESKD - KRT incidence (European)</t>
  </si>
  <si>
    <t xml:space="preserve">~151 per million / yr (2022-23)</t>
  </si>
  <si>
    <t xml:space="preserve">ERA Registry 2022 &amp; 2023</t>
  </si>
  <si>
    <t xml:space="preserve">  - ESKD Irish prevalent RRT</t>
  </si>
  <si>
    <t xml:space="preserve">&gt; 5,400 on dialysis/transplant</t>
  </si>
  <si>
    <t xml:space="preserve">UL/NKDSS, 2025</t>
  </si>
  <si>
    <t xml:space="preserve">  - ESKD incident age skew</t>
  </si>
  <si>
    <t xml:space="preserve">approx 54% aged &gt;= 65</t>
  </si>
  <si>
    <t xml:space="preserve">ERA Registry 2022</t>
  </si>
  <si>
    <t xml:space="preserve">Parkinson disease - Ireland</t>
  </si>
  <si>
    <t xml:space="preserve">Not retrieved - GAP</t>
  </si>
  <si>
    <t xml:space="preserve">registry/GBD proxy needed</t>
  </si>
  <si>
    <t xml:space="preserve">Motor neurone disease / ALS</t>
  </si>
  <si>
    <t xml:space="preserve">Irish ALS Register (TCD)</t>
  </si>
  <si>
    <t xml:space="preserve">STATUS - age-band incidence RATES are a documented GAP</t>
  </si>
  <si>
    <t xml:space="preserve">Crude 5-year-band, sex-specific incidence RATES (the q_i inputs) are NOT published in any rendered source.</t>
  </si>
  <si>
    <t xml:space="preserve">They exist only in: NCRI interactive 'incidence by age' tool (crude rate, single period, by sex); or CI5-XII microdata (cases / person-years); or INAS/HIPE band counts / CSO population.</t>
  </si>
  <si>
    <t xml:space="preserve">Pull protocol: for each family, crude rate per 100,000 = cases-in-band / population-in-band x 100,000, bands 30-34...85+, by sex. Family 8 = all-invasive-excl-NMSC minus families 1-7 at each band.</t>
  </si>
  <si>
    <t xml:space="preserve">Then q = 1 - EXP(-rate/100000) (live formula in the q_inputs tab, to be built when bands land).</t>
  </si>
  <si>
    <t xml:space="preserve">Reconcile: SUM over bands of (rate x CSO population) approx the national anchor above; report residual %.</t>
  </si>
  <si>
    <t xml:space="preserve">Until pulled, the provisional modelled curves in the morbidity input memo remain the flagged interim (NOT transcribed here).</t>
  </si>
  <si>
    <t xml:space="preserve">Sources</t>
  </si>
  <si>
    <t xml:space="preserve">NCRI, Cancer in Ireland 1994-2021: Annual Statistical Report (2023) - Appendix I (counts, cumulative risk, 2019-2021).</t>
  </si>
  <si>
    <t xml:space="preserve">IARC, GLOBOCAN 2022 (v1.1), Ireland fact sheet - cross-check anchor.</t>
  </si>
  <si>
    <t xml:space="preserve">NOCA, Irish Heart Attack Audit National Report 2022 &amp; 2023 (pub. Dec 2024); HIQA IHAA data profile.</t>
  </si>
  <si>
    <t xml:space="preserve">NOCA, Irish National Audit of Stroke National Report 2022 (pub. Dec 2023); HIQA INAS data profile.</t>
  </si>
  <si>
    <t xml:space="preserve">O'Connell K, McGuigan C, et al., Mult Scler Relat Disord (2017) - ROI MS incidence.</t>
  </si>
  <si>
    <t xml:space="preserve">ERA Registry Annual Reports 2022 &amp; 2023; UL/NKDSS (2025) - ESKD.</t>
  </si>
  <si>
    <t xml:space="preserve">Benefit_b - benefit fraction b(i,j) by coverage tier</t>
  </si>
  <si>
    <t xml:space="preserve">b = share of the SI sum assured paid, keyed to the coverage tier. Separate from w (triggerability, from rank). EPV benefit for illness i, provider j = q_i . w_ij . b_ij . S_SI . v^t.</t>
  </si>
  <si>
    <t xml:space="preserve">Blue = input.  Black = live formula.  Amber = provisional assumption to source from policy conditions.</t>
  </si>
  <si>
    <t xml:space="preserve">Benefit fraction by coverage tier (adjustable inputs)</t>
  </si>
  <si>
    <t xml:space="preserve">Coverage tier</t>
  </si>
  <si>
    <t xml:space="preserve">Benefit fraction b</t>
  </si>
  <si>
    <t xml:space="preserve">Full = 1.00. Partial = provisional 0.50 (real Irish/UK partial CI payments run ~25-50% of benefit, often capped) - SOURCE from policy conditions; sensitivity 0.25-0.50.</t>
  </si>
  <si>
    <t xml:space="preserve">Booster = 1.00 in base (Office C 200% severe-condition uplift held as a separate sensitivity). Ancillary = provisional 0.10. Child-only / Not covered = 0 (already gated to 0 in w for the adult model).</t>
  </si>
  <si>
    <t xml:space="preserve">Benefit fraction b(i,j), by canonical heading</t>
  </si>
  <si>
    <t xml:space="preserve">Contractual in-situ caps (R-2 fix; S42/S44/S46/S47); was flat 0.5</t>
  </si>
  <si>
    <t xml:space="preserve">Provider summary + cross-tab reconciliation</t>
  </si>
  <si>
    <t xml:space="preserve">b&gt;0 count</t>
  </si>
  <si>
    <t xml:space="preserve">Mean b (covered)</t>
  </si>
  <si>
    <t xml:space="preserve">w&gt;0 count (Wording_Scores)</t>
  </si>
  <si>
    <t xml:space="preserve">b&gt;0 must equal both the Coverage_Summary covered count and the Wording_Scores w&gt;0 count - b and w gate on the same tiers, so the two coefficient grids must cover exactly the same cells.</t>
  </si>
  <si>
    <t xml:space="preserve">Discount_v - discount factor v^t</t>
  </si>
  <si>
    <t xml:space="preserve">v^t = (1+r)^-t applied uniformly across the term. A single central rate; low/high for sensitivity.</t>
  </si>
  <si>
    <t xml:space="preserve">Amber = provisional rate to source.  Black = live formula.</t>
  </si>
  <si>
    <t xml:space="preserve">Discount-rate inputs</t>
  </si>
  <si>
    <t xml:space="preserve">Rate</t>
  </si>
  <si>
    <t xml:space="preserve">r</t>
  </si>
  <si>
    <t xml:space="preserve">Central</t>
  </si>
  <si>
    <t xml:space="preserve">Term (years)</t>
  </si>
  <si>
    <t xml:space="preserve">Central r = provisional 3.0% - to be sourced to the EIOPA EUR risk-free basis (consistent with MWP-2026-04 Longevity). Discount rate is near-neutral to the cross-provider fair-value comparison (all providers discounted identically); it affects absolute EPV and, mildly, the full/partial timing mix.</t>
  </si>
  <si>
    <t xml:space="preserve">t (year)</t>
  </si>
  <si>
    <t xml:space="preserve">v (central)</t>
  </si>
  <si>
    <t xml:space="preserve">v (low)</t>
  </si>
  <si>
    <t xml:space="preserve">v (high)</t>
  </si>
  <si>
    <t xml:space="preserve">Check: v(t=1) = 1/(1+r); v decreases with t. At central 3.0%, v^30 = 0.4120.</t>
  </si>
  <si>
    <t xml:space="preserve">Premiums - reference-life quotes (fair-value denominator)</t>
  </si>
  <si>
    <t xml:space="preserve">Monthly premiums for the series reference life, from Mylife whole-of-market quote system (BIS / MyLife Quote). SI premium = B - A isolates the price of the SI cover, which is what the fair-value ratio divides by.</t>
  </si>
  <si>
    <t xml:space="preserve">Premium is a legitimate model input (the FV denominator) - NOT claims data. No firewall issue.</t>
  </si>
  <si>
    <t xml:space="preserve">Blue = transcribed from quote screen.  Black = live formula.</t>
  </si>
  <si>
    <t xml:space="preserve">Reference life</t>
  </si>
  <si>
    <t xml:space="preserve">Male &amp; Female (unisex-priced), age 35 (DOB 01/07/1991), non-smoker, standard, RoI; 30-yr term; level; 1% govt levy included.</t>
  </si>
  <si>
    <t xml:space="preserve">Product</t>
  </si>
  <si>
    <t xml:space="preserve">Level term life EUR322,000 for family protection + accelerated specified serious illness. SI base EUR161,000 (50%); EUR322,000 (100%) as sensitivity.</t>
  </si>
  <si>
    <t xml:space="preserve">Quote source</t>
  </si>
  <si>
    <t xml:space="preserve">Mylife whole-of-market quote (BIS), prepared 21 Jul 2026. Values transcribed from the underlying quote screens (source of truth).</t>
  </si>
  <si>
    <t xml:space="preserve">A: Life only</t>
  </si>
  <si>
    <t xml:space="preserve">B: Life + SI EUR161k</t>
  </si>
  <si>
    <t xml:space="preserve">C: Life + SI EUR322k</t>
  </si>
  <si>
    <t xml:space="preserve">SI premium (B-A)</t>
  </si>
  <si>
    <t xml:space="preserve">SI premium (C-A)</t>
  </si>
  <si>
    <t xml:space="preserve">Annual SI (B-A)</t>
  </si>
  <si>
    <t xml:space="preserve">Unisex: male and female premiums are identical (EU Gender Directive, mandatory since Dec 2012). Premium_j does not vary by sex, though incidence q does - a point of analytical interest (unisex price vs sex-specific risk).</t>
  </si>
  <si>
    <t xml:space="preserve">Office E C corrected to 186.86 (the team's summary cell read 186.66; the underlying quote screen shows 186.86).</t>
  </si>
  <si>
    <t xml:space="preserve">Doubling the SI benefit (161k-&gt;322k) slightly more than doubles the SI premium (e.g. Office B 74.41 -&gt; 152.67, ratio ~2.05): mild convexity. EPV is exactly linear in S, so the fair-value ratio differs slightly by SI fraction - hence the 50%/100% sensitivity.</t>
  </si>
  <si>
    <t xml:space="preserve">TO CONFIRM: guaranteed vs reviewable premium basis (spec asked for guaranteed). 'Price pledge' is a price-match feature, not reviewability - confirm with the team.</t>
  </si>
  <si>
    <t xml:space="preserve">Use in the fair-value index</t>
  </si>
  <si>
    <t xml:space="preserve">FV_j = EPV_j(SI benefits) / premium_j. The denominator is the SI premium (B-A). Whether to divide by the annual SI premium or the PV of SI premiums over the term is a modelling choice to fix at EPV assembly; both are available here (monthly, annual).</t>
  </si>
  <si>
    <t xml:space="preserve">q_inputs - sourced cancer incidence and annual event probability</t>
  </si>
  <si>
    <t xml:space="preserve">Crude age/sex-specific incidence (NCRI, 2017-2019, pre-COVID) -&gt; annual first-event probability q = 1 - exp(-rate/100000).</t>
  </si>
  <si>
    <t xml:space="preserve">Epidemiological (NCRI) only. No claims data.</t>
  </si>
  <si>
    <t xml:space="preserve">Blue = sourced rate (input).  Black = live formula.  Vintage 2017-2019 (single, pre-COVID).</t>
  </si>
  <si>
    <t xml:space="preserve">Family / site</t>
  </si>
  <si>
    <t xml:space="preserve">Sex</t>
  </si>
  <si>
    <t xml:space="preserve">age lo</t>
  </si>
  <si>
    <t xml:space="preserve">age hi</t>
  </si>
  <si>
    <t xml:space="preserve">rate /100k</t>
  </si>
  <si>
    <t xml:space="preserve">q (annual)</t>
  </si>
  <si>
    <t xml:space="preserve">cases 3yr</t>
  </si>
  <si>
    <t xml:space="preserve">note</t>
  </si>
  <si>
    <t xml:space="preserve">Source: National Cancer Registry Ireland, incidence by age 2017-2019 (crude rates /100k), all invasive C00-C97 excl. C44 (NMSC). Reconciled to NCRI national anchors + GLOBOCAN 2022.</t>
  </si>
  <si>
    <t xml:space="preserve">C00-C97 excl C44</t>
  </si>
  <si>
    <t xml:space="preserve">M</t>
  </si>
  <si>
    <t xml:space="preserve">+</t>
  </si>
  <si>
    <t xml:space="preserve">F</t>
  </si>
  <si>
    <t xml:space="preserve">Breast</t>
  </si>
  <si>
    <t xml:space="preserve">&lt;5</t>
  </si>
  <si>
    <t xml:space="preserve">Other cancers (residual, M)</t>
  </si>
  <si>
    <t xml:space="preserve">Other cancers (residual)</t>
  </si>
  <si>
    <t xml:space="preserve">computed</t>
  </si>
  <si>
    <t xml:space="preserve">all-inv minus named sites</t>
  </si>
  <si>
    <t xml:space="preserve">Other cancers (residual, F)</t>
  </si>
  <si>
    <t xml:space="preserve">Reconciliation</t>
  </si>
  <si>
    <t xml:space="preserve">Residual rate &gt;= 0 in all bands (both sexes)</t>
  </si>
  <si>
    <t xml:space="preserve">Breast F annual (3yr/3) vs anchor 3422</t>
  </si>
  <si>
    <t xml:space="preserve">Prostate M annual (3yr/3) vs anchor 3980</t>
  </si>
  <si>
    <t xml:space="preserve">Corpus F annual (3yr/3) vs anchor 556</t>
  </si>
  <si>
    <t xml:space="preserve">Scope note</t>
  </si>
  <si>
    <t xml:space="preserve">Invasive cancer only (family I1). Carcinoma-in-situ / early-stage incidence (family I2) not yet pulled; CVD/neuro families pending.</t>
  </si>
  <si>
    <t xml:space="preserve">Breast in situ (DCIS) - family I2 early-stage [USED]</t>
  </si>
  <si>
    <t xml:space="preserve">Source: NCRI in-situ incidence 2017-2019 (DCIS, ICD-10 D05), crude rates /100k by 5-year age band.</t>
  </si>
  <si>
    <t xml:space="preserve">Breast in situ (DCIS)</t>
  </si>
  <si>
    <t xml:space="preserve">D05</t>
  </si>
  <si>
    <t xml:space="preserve">In-situ inclusion decisions</t>
  </si>
  <si>
    <t xml:space="preserve">Breast in situ (DCIS, D05): USED as family I2 -&gt; 'Carcinoma in Situ - Breast' benefit (Office D Full; Office B/Office E/Office A Partial; Office C not covered).</t>
  </si>
  <si>
    <t xml:space="preserve">Cervix in situ (CIN3, D06): EXCLUDED. CIN3 is a pre-malignant screening lesion (~1,455/yr), not the insured carcinoma-in-situ event; only Office A covers cervical in-situ and would not pay routine CIN3. Using it would grossly overstate early-stage value.</t>
  </si>
  <si>
    <t xml:space="preserve">Carcinoma of skin in situ (D04) &amp; melanoma in situ (D03): EXCLUDED. No corresponding in-situ benefit in any provider wording (w=0); consistent with excluding non-melanoma skin (C44) on the invasive side.</t>
  </si>
  <si>
    <t xml:space="preserve">Colorectal in situ (D01): NOT AVAILABLE (gap); small, and only Office A covers it.</t>
  </si>
  <si>
    <t xml:space="preserve">Limitation: Office A covers nearly all in-situ sites (Partial) but only BREAST in-situ incidence is available, so Office A's early-stage breadth is under-represented.</t>
  </si>
  <si>
    <t xml:space="preserve">Source: NCRI in-situ pull 2017-2019 (files 22 Jul 2026). Firewall: epidemiology only.</t>
  </si>
  <si>
    <t xml:space="preserve">NON-CANCER FAMILIES (broad bands; secondary families)</t>
  </si>
  <si>
    <t xml:space="preserve">code</t>
  </si>
  <si>
    <t xml:space="preserve">status</t>
  </si>
  <si>
    <t xml:space="preserve">Heart attack (AMI)</t>
  </si>
  <si>
    <t xml:space="preserve">I21-22</t>
  </si>
  <si>
    <t xml:space="preserve">HIPE 2017-19 principal dx; broad band; discharges</t>
  </si>
  <si>
    <t xml:space="preserve">Stroke (I60-I69)</t>
  </si>
  <si>
    <t xml:space="preserve">I60-69</t>
  </si>
  <si>
    <t xml:space="preserve">INTERIM: I60-I69 overcounts acute stroke ~20-30% (incl I69 sequelae); replace with I61/I63/I64 (INAS requested)</t>
  </si>
  <si>
    <t xml:space="preserve">Multiple sclerosis</t>
  </si>
  <si>
    <t xml:space="preserve">G35</t>
  </si>
  <si>
    <t xml:space="preserve">MODELLED: split computed from crude &amp; F:M ratio (cells M239:M240)</t>
  </si>
  <si>
    <t xml:space="preserve">MS national crude /100k</t>
  </si>
  <si>
    <t xml:space="preserve">crude ~6.3 (O'Connell 2017, 292 cases); F:M ~2.4</t>
  </si>
  <si>
    <t xml:space="preserve">MODELLED: split computed from crude &amp; F:M ratio</t>
  </si>
  <si>
    <t xml:space="preserve">F:M ratio</t>
  </si>
  <si>
    <t xml:space="preserve">Kidney failure (ESKD)</t>
  </si>
  <si>
    <t xml:space="preserve">N18.5</t>
  </si>
  <si>
    <t xml:space="preserve">ASSUMPTION (judgment): Irish ESKD incidence ~90-110 pmp (National Renal Office/ERA Ireland), BELOW European ERA average 152 pmp; working-age rate, 64% male skew. Immaterial to ranking.</t>
  </si>
  <si>
    <t xml:space="preserve">ASSUMPTION (judgment): Irish working-age ESKD, female; see M note. Not the European 152 pmp figure.</t>
  </si>
  <si>
    <t xml:space="preserve">EPV_cancer - invasive + early-stage (breast) cancer</t>
  </si>
  <si>
    <t xml:space="preserve">EPV_j(sex)=S_SI.[ w_inv.b_inv.SUM q_allinv.v^t  +  w_bIS.b_bIS.SUM q_breastDCIS.v^t (female) ]. Entry 35, 30-yr term.</t>
  </si>
  <si>
    <t xml:space="preserve">SCOPE</t>
  </si>
  <si>
    <t xml:space="preserve">Cancer families only (invasive I1 + breast early-stage I2). In-situ beyond breast, and CVD/neuro families, not yet included. Not the full-book fair value.</t>
  </si>
  <si>
    <t xml:space="preserve">S_SI</t>
  </si>
  <si>
    <t xml:space="preserve">50% of life-cover benchmark 322,000 (series reference); ratio results invariant to this.</t>
  </si>
  <si>
    <t xml:space="preserve">Entry/term</t>
  </si>
  <si>
    <t xml:space="preserve">35 / 30y</t>
  </si>
  <si>
    <t xml:space="preserve">t</t>
  </si>
  <si>
    <t xml:space="preserve">age</t>
  </si>
  <si>
    <t xml:space="preserve">q_invM</t>
  </si>
  <si>
    <t xml:space="preserve">q_invF</t>
  </si>
  <si>
    <t xml:space="preserve">q_brF</t>
  </si>
  <si>
    <t xml:space="preserve">v^t</t>
  </si>
  <si>
    <t xml:space="preserve">invM.v</t>
  </si>
  <si>
    <t xml:space="preserve">invF.v</t>
  </si>
  <si>
    <t xml:space="preserve">brF.v</t>
  </si>
  <si>
    <t xml:space="preserve">Sum</t>
  </si>
  <si>
    <t xml:space="preserve">Cancer EPV by provider (invasive + breast early-stage)</t>
  </si>
  <si>
    <t xml:space="preserve">w_inv</t>
  </si>
  <si>
    <t xml:space="preserve">w_bIS</t>
  </si>
  <si>
    <t xml:space="preserve">b_bIS</t>
  </si>
  <si>
    <t xml:space="preserve">EPV male</t>
  </si>
  <si>
    <t xml:space="preserve">EPV female</t>
  </si>
  <si>
    <t xml:space="preserve">EPV avg</t>
  </si>
  <si>
    <t xml:space="preserve">Note</t>
  </si>
  <si>
    <t xml:space="preserve">Early-stage (breast DCIS) adds most for Office D (pays DCIS in full) and nothing for Office C (not covered), narrowing the invasive-only gaps. Anonymise A-E for publication.</t>
  </si>
  <si>
    <t xml:space="preserve">EPV_noncancer - heart attack, stroke, MS, kidney failure</t>
  </si>
  <si>
    <t xml:space="preserve">Broad-band families. EPV_fam(sex)=w.b.S_SI.SUM q.v^t over attained ages 35-64. Stroke = I60-I69 interim (overcount).</t>
  </si>
  <si>
    <t xml:space="preserve">Sv young (ages 35-44, t1-10)</t>
  </si>
  <si>
    <t xml:space="preserve">Sv old (ages 45-64, t11-30)</t>
  </si>
  <si>
    <t xml:space="preserve">Sv all (35-64)</t>
  </si>
  <si>
    <t xml:space="preserve">Stroke acute-adj factor</t>
  </si>
  <si>
    <t xml:space="preserve">Acute-stroke calibration = INAS acute total / HIPE I60-I69 total (both cells at C27:C28). Removes the sequelae/stenosis/subarachnoid overcount. Set numerator to the I61/I63/I64 extract if INAS supplies it.</t>
  </si>
  <si>
    <t xml:space="preserve">SUM q.v^t by family and sex</t>
  </si>
  <si>
    <t xml:space="preserve">qv male</t>
  </si>
  <si>
    <t xml:space="preserve">qv female</t>
  </si>
  <si>
    <t xml:space="preserve">Heart attack</t>
  </si>
  <si>
    <t xml:space="preserve">Stroke</t>
  </si>
  <si>
    <t xml:space="preserve">MS</t>
  </si>
  <si>
    <t xml:space="preserve">Kidney failure</t>
  </si>
  <si>
    <t xml:space="preserve">EPV (non-cancer) by provider</t>
  </si>
  <si>
    <t xml:space="preserve">Office C strongest on heart attack/stroke/MS (w=1.0); this block lifts CVD-strong offices - the mirror of the cancer block. Stroke figures are an I60-I69 upper bound pending INAS.</t>
  </si>
  <si>
    <t xml:space="preserve">INAS acute stroke (annual, 2022-23 avg)</t>
  </si>
  <si>
    <t xml:space="preserve">Sourced: INAS national acute-stroke admissions (~5,961 in 2022, ~6,461 in 2023).</t>
  </si>
  <si>
    <t xml:space="preserve">HIPE I60-I69 (annual, 15+, from q_inputs)</t>
  </si>
  <si>
    <t xml:space="preserve">Live from the stroke case cells (3-yr total / 3); &lt;15 band excluded (negligible).</t>
  </si>
  <si>
    <t xml:space="preserve">Fair_value - fair-value index (cancer + non-cancer)</t>
  </si>
  <si>
    <t xml:space="preserve">FV = EPV(all modelled SI benefits) / PV(SI premiums). PV = annual SI premium x annuity a30 (central r).</t>
  </si>
  <si>
    <t xml:space="preserve">Now covers cancer (invasive + breast early-stage) + heart attack + stroke + MS + kidney failure - the large majority of the SI book. Still excludes non-breast in-situ (data-limited) and minor families. Stroke is an I60-I69 upper bound (INAS breakdown pending). MS/ESKD age curves modelled. Directional, not final.</t>
  </si>
  <si>
    <t xml:space="preserve">Annuity a30</t>
  </si>
  <si>
    <t xml:space="preserve">Fair-value index by provider</t>
  </si>
  <si>
    <t xml:space="preserve">PV prem</t>
  </si>
  <si>
    <t xml:space="preserve">EPV M</t>
  </si>
  <si>
    <t xml:space="preserve">EPV F</t>
  </si>
  <si>
    <t xml:space="preserve">FV M</t>
  </si>
  <si>
    <t xml:space="preserve">FV F</t>
  </si>
  <si>
    <t xml:space="preserve">FV = expected present value of benefits per EUR1 of premium PV.</t>
  </si>
  <si>
    <t xml:space="preserve">Cancer (Office B-led) and non-cancer (Office C-led) pull in different directions - the combined ranking reflects the whole modelled book, not one family.</t>
  </si>
  <si>
    <t xml:space="preserve">Anonymise (Provider A-E) for publication.</t>
  </si>
  <si>
    <t xml:space="preserve">Premiums by age (mylife whole-of-market, 24 Jul 2026, guaranteed basis) — life-only, life+SI, derived SI cost</t>
  </si>
  <si>
    <t xml:space="preserve">Product: level term, non-smoker, standard health · Life €322,000 · Accelerated SI €161,000 · term to age 65 · unisex premiums</t>
  </si>
  <si>
    <t xml:space="preserve">Age</t>
  </si>
  <si>
    <t xml:space="preserve">Term</t>
  </si>
  <si>
    <t xml:space="preserve">Office B life-only</t>
  </si>
  <si>
    <t xml:space="preserve">Office B life+SI</t>
  </si>
  <si>
    <t xml:space="preserve">Office B SI/mo</t>
  </si>
  <si>
    <t xml:space="preserve">Office D life-only</t>
  </si>
  <si>
    <t xml:space="preserve">Office D life+SI</t>
  </si>
  <si>
    <t xml:space="preserve">Office D SI/mo</t>
  </si>
  <si>
    <t xml:space="preserve">Office E life-only</t>
  </si>
  <si>
    <t xml:space="preserve">Office E life+SI</t>
  </si>
  <si>
    <t xml:space="preserve">Office E SI/mo</t>
  </si>
  <si>
    <t xml:space="preserve">Office A life-only</t>
  </si>
  <si>
    <t xml:space="preserve">Office A life+SI</t>
  </si>
  <si>
    <t xml:space="preserve">Office A SI/mo</t>
  </si>
  <si>
    <t xml:space="preserve">Office C life-only</t>
  </si>
  <si>
    <t xml:space="preserve">Office C life+SI</t>
  </si>
  <si>
    <t xml:space="preserve">Office C SI/mo</t>
  </si>
  <si>
    <t xml:space="preserve">Portfolio engine — every value is a live formula; no external computation. Validated in-sheet against the single-life result (row 64).</t>
  </si>
  <si>
    <t xml:space="preserve">discount r =</t>
  </si>
  <si>
    <t xml:space="preserve">term n</t>
  </si>
  <si>
    <t xml:space="preserve">att@30</t>
  </si>
  <si>
    <t xml:space="preserve">att@35</t>
  </si>
  <si>
    <t xml:space="preserve">att@40</t>
  </si>
  <si>
    <t xml:space="preserve">att@45</t>
  </si>
  <si>
    <t xml:space="preserve">att@50</t>
  </si>
  <si>
    <t xml:space="preserve">annuity</t>
  </si>
  <si>
    <t xml:space="preserve">SvY (att&lt;=44)</t>
  </si>
  <si>
    <t xml:space="preserve">SvO (att 45-64)</t>
  </si>
  <si>
    <t xml:space="preserve">W band 30-34</t>
  </si>
  <si>
    <t xml:space="preserve">W band 35-39</t>
  </si>
  <si>
    <t xml:space="preserve">W band 40-44</t>
  </si>
  <si>
    <t xml:space="preserve">W band 45-49</t>
  </si>
  <si>
    <t xml:space="preserve">W band 50-54</t>
  </si>
  <si>
    <t xml:space="preserve">W band 55-59</t>
  </si>
  <si>
    <t xml:space="preserve">W band 60-64</t>
  </si>
  <si>
    <t xml:space="preserve">PVinc M</t>
  </si>
  <si>
    <t xml:space="preserve">PVinc F</t>
  </si>
  <si>
    <t xml:space="preserve">PVbr F</t>
  </si>
  <si>
    <t xml:space="preserve">qvHA M</t>
  </si>
  <si>
    <t xml:space="preserve">qvHA F</t>
  </si>
  <si>
    <t xml:space="preserve">qvST M</t>
  </si>
  <si>
    <t xml:space="preserve">qvST F</t>
  </si>
  <si>
    <t xml:space="preserve">qvMS M</t>
  </si>
  <si>
    <t xml:space="preserve">qvMS F</t>
  </si>
  <si>
    <t xml:space="preserve">qvKF M</t>
  </si>
  <si>
    <t xml:space="preserve">qvKF F</t>
  </si>
  <si>
    <t xml:space="preserve">EPV male (€)</t>
  </si>
  <si>
    <t xml:space="preserve">EPV female (€)</t>
  </si>
  <si>
    <t xml:space="preserve">PV premium (€)</t>
  </si>
  <si>
    <t xml:space="preserve">FAIR VALUE male</t>
  </si>
  <si>
    <t xml:space="preserve">FAIR VALUE female</t>
  </si>
  <si>
    <t xml:space="preserve">VALIDATION: age-35 male FV minus Fair_value tab (must be 0)</t>
  </si>
  <si>
    <t xml:space="preserve">VALIDATION: age-35 female FV minus Fair_value tab (must be 0)</t>
  </si>
  <si>
    <t xml:space="preserve">CSO M pop (band)</t>
  </si>
  <si>
    <t xml:space="preserve">Market weights: CSO PxStat table PEA11 (Estimated Population by Single Year of Age, Sex and Year) / Census 2022 table FY006B — PRIMARY SOURCE. State x ages 30-54 x sex. Values here are PROVISIONAL pending direct PxStat export (see Appendix D); immaterial to results (CSO-weighted = equal-weighted to 0.01).</t>
  </si>
  <si>
    <t xml:space="preserve">CSO F pop (band)</t>
  </si>
  <si>
    <t xml:space="preserve">MARKET-LEVEL (CSO-weighted)</t>
  </si>
  <si>
    <t xml:space="preserve">wtd male FV</t>
  </si>
  <si>
    <t xml:space="preserve">wtd female FV</t>
  </si>
  <si>
    <t xml:space="preserve">avg-buyer FV</t>
  </si>
  <si>
    <t xml:space="preserve">male-female gap</t>
  </si>
  <si>
    <t xml:space="preserve">equal-wt buyer FV (robustness)</t>
  </si>
  <si>
    <t xml:space="preserve">EQUAL-WEIGHT CHECK (§9.5, live): equal-weighted market FV vs CSO-weighted (rows 75-79); tolerance 0.0105</t>
  </si>
  <si>
    <t xml:space="preserve">§9.5 MASTER</t>
  </si>
  <si>
    <t xml:space="preserve">Regression_05 - pinned MWP-2026-05 v1.6.0 results (basis: erratum #2, incl. the head in-situ contractual caps, 2026-09-29).</t>
  </si>
  <si>
    <t xml:space="preserve">Purpose: any -06 extension work that disturbs a published -05 result trips this check. Pattern per Coverage_Summary.</t>
  </si>
  <si>
    <t xml:space="preserve">Pinned 2026-09-04 from the recalculated v1.2.2 engine. Tolerances: FV 1e-6; EPV 0.005 EUR; coverage stats 1e-6.</t>
  </si>
  <si>
    <t xml:space="preserve">PINNED - market fair value</t>
  </si>
  <si>
    <t xml:space="preserve">FV wtd M</t>
  </si>
  <si>
    <t xml:space="preserve">FV wtd F</t>
  </si>
  <si>
    <t xml:space="preserve">FV avg buyer</t>
  </si>
  <si>
    <t xml:space="preserve">Gap M-F</t>
  </si>
  <si>
    <t xml:space="preserve">FV eq-wt</t>
  </si>
  <si>
    <t xml:space="preserve">LIVE</t>
  </si>
  <si>
    <t xml:space="preserve">DIFF</t>
  </si>
  <si>
    <t xml:space="preserve">PINNED - EPV by office/sex/age (EUR)</t>
  </si>
  <si>
    <t xml:space="preserve">EPV age 30</t>
  </si>
  <si>
    <t xml:space="preserve">EPV age 35</t>
  </si>
  <si>
    <t xml:space="preserve">EPV age 40</t>
  </si>
  <si>
    <t xml:space="preserve">EPV age 45</t>
  </si>
  <si>
    <t xml:space="preserve">EPV age 50</t>
  </si>
  <si>
    <t xml:space="preserve">Office B M</t>
  </si>
  <si>
    <t xml:space="preserve">Office D M</t>
  </si>
  <si>
    <t xml:space="preserve">Office E M</t>
  </si>
  <si>
    <t xml:space="preserve">Office A M</t>
  </si>
  <si>
    <t xml:space="preserve">Office C M</t>
  </si>
  <si>
    <t xml:space="preserve">Office B F</t>
  </si>
  <si>
    <t xml:space="preserve">Office D F</t>
  </si>
  <si>
    <t xml:space="preserve">Office E F</t>
  </si>
  <si>
    <t xml:space="preserve">Office A F</t>
  </si>
  <si>
    <t xml:space="preserve">Office C F</t>
  </si>
  <si>
    <t xml:space="preserve">PINNED - coverage counts and rank stats</t>
  </si>
  <si>
    <t xml:space="preserve">v1.2.2 historical comparator (Office D rows CHECK expected after erratum E-20)</t>
  </si>
  <si>
    <t xml:space="preserve">NOTE (v3.0.0): the PINNED block holds v1.2.2 values. After the E-20 correction, CHECK flags on Office D rows are EXPECTED and quantify the erratum; all non-Office D rows must remain OK. A v1.3.0 pin is added on acceptance.</t>
  </si>
  <si>
    <t xml:space="preserve">PINNED v1.3.0 - corrected base (erratum E-20 approved 2026-09-09). This is the live regression comparator from workbook v3.0.0-b2 onward.</t>
  </si>
  <si>
    <t xml:space="preserve">PINNED v1.3.0 - market fair value</t>
  </si>
  <si>
    <t xml:space="preserve">PINNED v1.3.0 - EPV by office/sex/age (EUR)</t>
  </si>
  <si>
    <t xml:space="preserve">PINNED v1.3.0 - coverage counts and rank stats</t>
  </si>
  <si>
    <t xml:space="preserve">Overall v1.3.0 regression check (governing)</t>
  </si>
  <si>
    <t xml:space="preserve">PINNED matrix tier counts (v1.4.0, erratum #2) vs live - governed</t>
  </si>
  <si>
    <t xml:space="preserve">Office</t>
  </si>
  <si>
    <t xml:space="preserve">any pinned</t>
  </si>
  <si>
    <t xml:space="preserve">full pinned</t>
  </si>
  <si>
    <t xml:space="preserve">any live</t>
  </si>
  <si>
    <t xml:space="preserve">full live</t>
  </si>
  <si>
    <t xml:space="preserve">flag</t>
  </si>
  <si>
    <t xml:space="preserve">Head_EPV_06 - heading-level EPV contributions for MWP-2026-06 (additive tab, workbook v4.0.0)</t>
  </si>
  <si>
    <t xml:space="preserve">Every value a live formula: Portfolio qv blocks x Wording_Scores w x Benefit_b b x S_SI. Tie-out block diffs the summed head against Portfolio EPV cells.</t>
  </si>
  <si>
    <t xml:space="preserve">S_SI (specified amount, ref)</t>
  </si>
  <si>
    <t xml:space="preserve">qv row M (Portfolio)</t>
  </si>
  <si>
    <t xml:space="preserve">qv row F (Portfolio)</t>
  </si>
  <si>
    <t xml:space="preserve">w row (Wording_Scores)</t>
  </si>
  <si>
    <t xml:space="preserve">b row (Benefit_b)</t>
  </si>
  <si>
    <t xml:space="preserve">CA</t>
  </si>
  <si>
    <t xml:space="preserve">Cancer (Invasive) - Excluding Less Advanced Cases</t>
  </si>
  <si>
    <t xml:space="preserve">IS</t>
  </si>
  <si>
    <t xml:space="preserve">Carcinoma in Situ - Breast</t>
  </si>
  <si>
    <t xml:space="preserve">HA</t>
  </si>
  <si>
    <t xml:space="preserve">Heart Attack - of Specified Severity</t>
  </si>
  <si>
    <t xml:space="preserve">ST</t>
  </si>
  <si>
    <t xml:space="preserve">Stroke - Resulting in Specified Symptoms</t>
  </si>
  <si>
    <t xml:space="preserve">Multiple Sclerosis (incl. NMO/Devic's) - with Persisting Symptoms</t>
  </si>
  <si>
    <t xml:space="preserve">KF</t>
  </si>
  <si>
    <t xml:space="preserve">Kidney Failure - Requiring Dialysis</t>
  </si>
  <si>
    <t xml:space="preserve">Heading</t>
  </si>
  <si>
    <t xml:space="preserve">age 30</t>
  </si>
  <si>
    <t xml:space="preserve">age 35</t>
  </si>
  <si>
    <t xml:space="preserve">age 40</t>
  </si>
  <si>
    <t xml:space="preserve">age 45</t>
  </si>
  <si>
    <t xml:space="preserve">age 50</t>
  </si>
  <si>
    <t xml:space="preserve">diff age 30</t>
  </si>
  <si>
    <t xml:space="preserve">diff age 35</t>
  </si>
  <si>
    <t xml:space="preserve">diff age 40</t>
  </si>
  <si>
    <t xml:space="preserve">diff age 45</t>
  </si>
  <si>
    <t xml:space="preserve">diff age 50</t>
  </si>
  <si>
    <t xml:space="preserve">Overall tie-out</t>
  </si>
  <si>
    <t xml:space="preserve">Sources_06 - provenance register for MWP-2026-06 inputs (additive tab). Input cells elsewhere link to column D here.</t>
  </si>
  <si>
    <t xml:space="preserve">Status codes: VERIFIED-PRIMARY (document fetched in full) | VERIFIED-SNIPPET (primary source text via search result) | VERIFIED-3P-HOSTED (provider document, third-party hosted copy) | SECONDARY (context only, never an input) | GAP (no primary figure; cell empty)</t>
  </si>
  <si>
    <t xml:space="preserve">ID</t>
  </si>
  <si>
    <t xml:space="preserve">Item</t>
  </si>
  <si>
    <t xml:space="preserve">Provider / heading</t>
  </si>
  <si>
    <t xml:space="preserve">Figure</t>
  </si>
  <si>
    <t xml:space="preserve">Unit</t>
  </si>
  <si>
    <t xml:space="preserve">Source title</t>
  </si>
  <si>
    <t xml:space="preserve">Publisher</t>
  </si>
  <si>
    <t xml:space="preserve">URL</t>
  </si>
  <si>
    <t xml:space="preserve">Retrieved</t>
  </si>
  <si>
    <t xml:space="preserve">Notes</t>
  </si>
  <si>
    <t xml:space="preserve">S01</t>
  </si>
  <si>
    <t xml:space="preserve">Marketed condition count</t>
  </si>
  <si>
    <t xml:space="preserve">Office (lettered; mapping in the internal register)</t>
  </si>
  <si>
    <t xml:space="preserve">member of {70, 89, 91, 97, 112}</t>
  </si>
  <si>
    <t xml:space="preserve">count</t>
  </si>
  <si>
    <t xml:space="preserve">Provider product page</t>
  </si>
  <si>
    <t xml:space="preserve">the office lettered B (legal entity in the internal register)</t>
  </si>
  <si>
    <t xml:space="preserve">Provider document (office as lettered); edition, reference and location held in the internal register; bona-fide verification per the paper's Appendix F.</t>
  </si>
  <si>
    <t xml:space="preserve">2026-09-08</t>
  </si>
  <si>
    <t xml:space="preserve">VERIFIED-PRIMARY</t>
  </si>
  <si>
    <t xml:space="preserve">Published full/partial split held in the internal register.</t>
  </si>
  <si>
    <t xml:space="preserve">S02</t>
  </si>
  <si>
    <t xml:space="preserve">the office lettered D (legal entity in the internal register)</t>
  </si>
  <si>
    <t xml:space="preserve">S03</t>
  </si>
  <si>
    <t xml:space="preserve">Office E Assurance Company plc</t>
  </si>
  <si>
    <t xml:space="preserve">Provider document (office as lettered); edition, product name, reference and location held in the internal register; bona-fide verification per the paper's Appendix F.</t>
  </si>
  <si>
    <t xml:space="preserve">S04</t>
  </si>
  <si>
    <t xml:space="preserve">Office A Insurance DAC</t>
  </si>
  <si>
    <t xml:space="preserve">S05</t>
  </si>
  <si>
    <t xml:space="preserve">the office lettered C (legal entity in the internal register)</t>
  </si>
  <si>
    <t xml:space="preserve">S06</t>
  </si>
  <si>
    <t xml:space="preserve">Partial-payment cap</t>
  </si>
  <si>
    <t xml:space="preserve">EUR</t>
  </si>
  <si>
    <t xml:space="preserve">Specified Illness Cover product page</t>
  </si>
  <si>
    <t xml:space="preserve">EUR 20,000 or half of cover, whichever lower. Angioplasty single vessel: EUR 5,000 or half, whichever lower.</t>
  </si>
  <si>
    <t xml:space="preserve">S07</t>
  </si>
  <si>
    <t xml:space="preserve">Additional-payment cap</t>
  </si>
  <si>
    <t xml:space="preserve">Specified Illness Cover page and additional-payment sub-page</t>
  </si>
  <si>
    <t xml:space="preserve">EUR 15,000 or 50% of cover, whichever lower; paid in addition to main benefit; one additional payment per person.</t>
  </si>
  <si>
    <t xml:space="preserve">S08</t>
  </si>
  <si>
    <t xml:space="preserve">EUR 15,000 or 50%, whichever lower; one claim per partial illness, total not exceeding SSI cover.</t>
  </si>
  <si>
    <t xml:space="preserve">S09</t>
  </si>
  <si>
    <t xml:space="preserve">Angioplasty maximum</t>
  </si>
  <si>
    <t xml:space="preserve">EUR 50,000 or 50%, whichever lower: EUR 5,000 first artery + EUR 45,000 second artery.</t>
  </si>
  <si>
    <t xml:space="preserve">S10</t>
  </si>
  <si>
    <t xml:space="preserve">VERIFIED-3P-HOSTED</t>
  </si>
  <si>
    <t xml:space="preserve">Provider-document detail held in the internal register (bona-fide verification per the paper's Appendix F).</t>
  </si>
  <si>
    <t xml:space="preserve">S11</t>
  </si>
  <si>
    <t xml:space="preserve">50% subject to maximum EUR 100,000; first single angioplasty event EUR 5,000; not paid more than once per policy. VERIFICATION 2026-09-09: EUR 5,000 first Single Angioplasty Event + EUR 95,000 second (or one double-artery event), total max EUR 100,000; payment REDUCES current and future SI/PTD sums insured (accelerating - unlike Office D's additional payment). Four consistent hosted copies.</t>
  </si>
  <si>
    <t xml:space="preserve">S12</t>
  </si>
  <si>
    <t xml:space="preserve">maximum per partial payment (50% of benefit if lower)</t>
  </si>
  <si>
    <t xml:space="preserve">2026-09-24</t>
  </si>
  <si>
    <t xml:space="preserve">S13</t>
  </si>
  <si>
    <t xml:space="preserve">PCI crude rate, Ireland 2011</t>
  </si>
  <si>
    <t xml:space="preserve">Coronary angioplasty (16-18)</t>
  </si>
  <si>
    <t xml:space="preserve">per million population</t>
  </si>
  <si>
    <t xml:space="preserve">Trends in percutaneous coronary intervention and angiography in Ireland, 2004-2011</t>
  </si>
  <si>
    <t xml:space="preserve">Jennings S. et al., IJC Heart &amp; Vasculature (2014); PubMed 29450183</t>
  </si>
  <si>
    <t xml:space="preserve">Provider document; location held in the internal register (bona-fide verification per the papers' Corrections appendix).</t>
  </si>
  <si>
    <t xml:space="preserve">VERIFIED-SNIPPET</t>
  </si>
  <si>
    <t xml:space="preserve">Survey of public and private catheter labs plus HIPE; about one third of interventions private-sector, unrecorded in HIPE. Current-year figure requires HIPE 2024 + sourced private uplift.</t>
  </si>
  <si>
    <t xml:space="preserve">S14</t>
  </si>
  <si>
    <t xml:space="preserve">STEMI patients treated, 2024</t>
  </si>
  <si>
    <t xml:space="preserve">Heart attack (head; D7 anchor)</t>
  </si>
  <si>
    <t xml:space="preserve">persons</t>
  </si>
  <si>
    <t xml:space="preserve">Irish Heart Attack Audit National Report 2024</t>
  </si>
  <si>
    <t xml:space="preserve">National Office of Clinical Audit</t>
  </si>
  <si>
    <t xml:space="preserve">10 primary PCI centres; persons not episodes.</t>
  </si>
  <si>
    <t xml:space="preserve">S15</t>
  </si>
  <si>
    <t xml:space="preserve">Heart attacks per year, Ireland (estimate)</t>
  </si>
  <si>
    <t xml:space="preserve">persons per year</t>
  </si>
  <si>
    <t xml:space="preserve">Irish Heart Attack Audit National Report 2022 and 2023 (citing NOCA 2022a)</t>
  </si>
  <si>
    <t xml:space="preserve">STEMI approx one quarter; NSTEMI approx three quarters.</t>
  </si>
  <si>
    <t xml:space="preserve">S16</t>
  </si>
  <si>
    <t xml:space="preserve">Organ transplants - maximum verified-primary year (2017)</t>
  </si>
  <si>
    <t xml:space="preserve">Major organ transplant (133)</t>
  </si>
  <si>
    <t xml:space="preserve">transplants</t>
  </si>
  <si>
    <t xml:space="preserve">ODTI Annual Report 2021 (statutory, S.I. 325/2012 Part 5), Table 2; HSE press releases 27 Dec 2024 and 29 Dec 2025</t>
  </si>
  <si>
    <t xml:space="preserve">HSE / Organ Donation Transplant Ireland; Irish Times 29 Dec 2025</t>
  </si>
  <si>
    <t xml:space="preserve">https://www.hse.ie/eng/about/who/acute-hospitals-division/organ-donation-transplant-ireland/publications/odti-annual-report-2021-final-14-53.pdf</t>
  </si>
  <si>
    <t xml:space="preserve">Series (total organ transplants, excl. UK paired exchange): 311 (2017), 274 (2018), 274 (2019), 190 (2020), 206 (2021) - ODTI AR 2021 Table 2; 263 (2024, 84 deceased + 30 living donors) and 202 (2025) - HSE releases. 2022 (250) and 2023 (282) remain newspaper-reported (SECONDARY) pending the ODTI 2022/2023 reports; the bound uses the verified maximum 311, which exceeds both. Kidney 2021: 139 (104 deceased, 35 living); 150 new listings.</t>
  </si>
  <si>
    <t xml:space="preserve">S17</t>
  </si>
  <si>
    <t xml:space="preserve">Organ transplants, 2025</t>
  </si>
  <si>
    <t xml:space="preserve">HSE press release 29 Dec 2025</t>
  </si>
  <si>
    <t xml:space="preserve">HSE / Organ Donation Transplant Ireland</t>
  </si>
  <si>
    <t xml:space="preserve">https://about.hse.ie/news/202-organ-transplants-as-a-result-of-organ-donations-in-ireland-in-2025/</t>
  </si>
  <si>
    <t xml:space="preserve">Organ split discrepancy: HSE release 136K/28Li/16L/7H/5P (sums 192); RTE/Irish Times 140/33/15/9/5 (sums 202). Total consistent.</t>
  </si>
  <si>
    <t xml:space="preserve">S18</t>
  </si>
  <si>
    <t xml:space="preserve">Primary brain tumours, ages 15+, 2015-2019</t>
  </si>
  <si>
    <t xml:space="preserve">Benign brain tumour (83) - all subtypes, upper bound</t>
  </si>
  <si>
    <t xml:space="preserve">cases (5 years)</t>
  </si>
  <si>
    <t xml:space="preserve">Trends in primary brain tumour incidence and mortality in Ireland 1995-2019</t>
  </si>
  <si>
    <t xml:space="preserve">Malone A. et al., Ir J Med Sci (2026), NCRI data</t>
  </si>
  <si>
    <t xml:space="preserve">All subtypes incl. malignant. Meningioma 25% (n=3,281 of 13,122, 1995-2019). Non-malignant share and age split to be taken from paper tables/NCRI - not estimated.</t>
  </si>
  <si>
    <t xml:space="preserve">S19</t>
  </si>
  <si>
    <t xml:space="preserve">NCRI registration scope</t>
  </si>
  <si>
    <t xml:space="preserve">Benign brain / spinal / pituitary (83-85)</t>
  </si>
  <si>
    <t xml:space="preserve">National Cancer Registry Ireland (NCRI) data collection description</t>
  </si>
  <si>
    <t xml:space="preserve">HIQA</t>
  </si>
  <si>
    <t xml:space="preserve">NCRI registers all intracranial and spinal cord tumours incl. benign CNS, meninges, cranial nerve, pituitary; also in-situ (/2) and borderline (/1) tumours.</t>
  </si>
  <si>
    <t xml:space="preserve">S20</t>
  </si>
  <si>
    <t xml:space="preserve">HIPE 2024 annual report</t>
  </si>
  <si>
    <t xml:space="preserve">Tail headings - HIPE-sourced rows</t>
  </si>
  <si>
    <t xml:space="preserve">Activity of Acute Public Hospitals in Ireland 2024 Annual Report</t>
  </si>
  <si>
    <t xml:space="preserve">Healthcare Pricing Office, HSE (2025)</t>
  </si>
  <si>
    <t xml:space="preserve">Report exists; diagnosis-by-chapter and procedure-by-age tables pending extraction.</t>
  </si>
  <si>
    <t xml:space="preserve">S21</t>
  </si>
  <si>
    <t xml:space="preserve">Population denominator by age and sex</t>
  </si>
  <si>
    <t xml:space="preserve">All count-based sources</t>
  </si>
  <si>
    <t xml:space="preserve">not yet entered</t>
  </si>
  <si>
    <t xml:space="preserve">Central Statistics Office</t>
  </si>
  <si>
    <t xml:space="preserve">GAP</t>
  </si>
  <si>
    <t xml:space="preserve">Required to convert count-based sources (e.g. S16/S17) to rates per 100,000. Cell left empty.</t>
  </si>
  <si>
    <t xml:space="preserve">S22</t>
  </si>
  <si>
    <t xml:space="preserve">Office D additional-payment condition list (41)</t>
  </si>
  <si>
    <t xml:space="preserve">conditions</t>
  </si>
  <si>
    <t xml:space="preserve">Specified Illnesses - Additional Payment (list page)</t>
  </si>
  <si>
    <t xml:space="preserve">EUR 15,000 or up to 50% of cover, whichever lower; one additional payment per person; separate from main benefit. Mapped to canonical headings in block below.</t>
  </si>
  <si>
    <t xml:space="preserve">S23</t>
  </si>
  <si>
    <t xml:space="preserve">Partial-payment cap document identified</t>
  </si>
  <si>
    <t xml:space="preserve">Office E Assurance / Office E</t>
  </si>
  <si>
    <t xml:space="preserve">Provider product page; location held in the internal register.</t>
  </si>
  <si>
    <t xml:space="preserve">Documents identified but not retrievable with current tooling (fetch requires a search-result URL). Cap cell remains empty.</t>
  </si>
  <si>
    <t xml:space="preserve">S24</t>
  </si>
  <si>
    <t xml:space="preserve">HIPE 2024 tables - open-data route</t>
  </si>
  <si>
    <t xml:space="preserve">Tail headings - HIPE rows</t>
  </si>
  <si>
    <t xml:space="preserve">HSE Open Data, group 'HPO HIPE' (Activity in Acute Public Hospitals annual report tables); HPO HIPE Statistics Reporter</t>
  </si>
  <si>
    <t xml:space="preserve">Healthcare Pricing Office, HSE</t>
  </si>
  <si>
    <t xml:space="preserve">Route identified; 2024 table datasets not yet retrieved.</t>
  </si>
  <si>
    <t xml:space="preserve">Office D list entry (as published)</t>
  </si>
  <si>
    <t xml:space="preserve">Canonical #</t>
  </si>
  <si>
    <t xml:space="preserve">Canonical tier coded for Office D (-05 matrix, live)</t>
  </si>
  <si>
    <t xml:space="preserve">Aortic Aneurysm with endovascular repair</t>
  </si>
  <si>
    <t xml:space="preserve">Brain Abscess drained via craniotomy</t>
  </si>
  <si>
    <t xml:space="preserve">Cancer in situ - Other (sites not already mentioned) - with surgery</t>
  </si>
  <si>
    <t xml:space="preserve">Cancer in situ - Vulva - treated with surgery</t>
  </si>
  <si>
    <t xml:space="preserve">Cancer in situ - Vagina - treated with surgery</t>
  </si>
  <si>
    <t xml:space="preserve">Cancer in situ - Uterus - treated with specified surgery</t>
  </si>
  <si>
    <t xml:space="preserve">Cancer in situ - Urinary bladder</t>
  </si>
  <si>
    <t xml:space="preserve">Cancer in situ - Testicle - requiring surgery to remove at least one testicle</t>
  </si>
  <si>
    <t xml:space="preserve">Cancer in situ - Renal pelvis and ureter - of specified severity</t>
  </si>
  <si>
    <t xml:space="preserve">Cancer in situ - Oral cavity or oropharynx - treated by surgery</t>
  </si>
  <si>
    <t xml:space="preserve">Cancer in situ - Oesophagus - treated by specified surgery</t>
  </si>
  <si>
    <t xml:space="preserve">Cancer in situ - Lung and bronchus - treated by specified surgery</t>
  </si>
  <si>
    <t xml:space="preserve">Cancer in situ - Larynx - treated with specified treatment</t>
  </si>
  <si>
    <t xml:space="preserve">Cancer in situ - Colon or rectum - resulting in intestinal resection</t>
  </si>
  <si>
    <t xml:space="preserve">Cancer in situ - Cervix - treated with specified surgery</t>
  </si>
  <si>
    <t xml:space="preserve">Cancer in situ - Anus - treated by surgery</t>
  </si>
  <si>
    <t xml:space="preserve">Carotid Artery Stenosis - treated by endarterectomy or angioplasty</t>
  </si>
  <si>
    <t xml:space="preserve">Central retinal artery or vein occlusion (eye stroke) resulting in permanent visual loss</t>
  </si>
  <si>
    <t xml:space="preserve">Cerebral or spinal aneurysm with surgery, radiotherapy or endovascular repair</t>
  </si>
  <si>
    <t xml:space="preserve">Cerebral or spinal arteriovenous malformation with surgery, stereotactic radiosurgery or endovascular repair</t>
  </si>
  <si>
    <t xml:space="preserve">Coronary Artery Angioplasty of specified severity</t>
  </si>
  <si>
    <t xml:space="preserve">One Office D entry; canonical splits into #16, #17, #18</t>
  </si>
  <si>
    <t xml:space="preserve">Crohn's disease treated with surgical intestinal resection</t>
  </si>
  <si>
    <t xml:space="preserve">Cystectomy - removal of the complete bladder</t>
  </si>
  <si>
    <t xml:space="preserve">Ductal Carcinoma in situ - Breast, treated by surgery</t>
  </si>
  <si>
    <t xml:space="preserve">Head family (DCIS)</t>
  </si>
  <si>
    <t xml:space="preserve">Gastrointestinal Stromal Tumour (GIST) treated with surgery</t>
  </si>
  <si>
    <t xml:space="preserve">Implantable cardioverter defibrillator (ICD) for primary prevention of sudden cardiac death</t>
  </si>
  <si>
    <t xml:space="preserve">Liver resection</t>
  </si>
  <si>
    <t xml:space="preserve">Low Level Prostate Cancer with Gleason score between 2 and 6 and with specific treatment</t>
  </si>
  <si>
    <t xml:space="preserve">No canonical heading</t>
  </si>
  <si>
    <t xml:space="preserve">Neuroendocrine Tumour (NET) of low malignant potential treated with surgery</t>
  </si>
  <si>
    <t xml:space="preserve">Ovarian Tumour of Borderline Malignancy / Low Malignant Potential treated with surgical removal of an ovary</t>
  </si>
  <si>
    <t xml:space="preserve">Peripheral vascular disease treated by angioplasty</t>
  </si>
  <si>
    <t xml:space="preserve">Permanent Pacemaker Insertion for heartbeat abnormalities</t>
  </si>
  <si>
    <t xml:space="preserve">Pituitary tumour resulting in permanent symptoms or surgery</t>
  </si>
  <si>
    <t xml:space="preserve">Serious Accident Cover resulting in at least 28 consecutive days in hospital</t>
  </si>
  <si>
    <t xml:space="preserve">Severe Burns / 3rd degree burns covering at least 5% of the body's surface</t>
  </si>
  <si>
    <t xml:space="preserve">Canonical #134 threshold is 20% body / 50% face; Office D threshold 5%</t>
  </si>
  <si>
    <t xml:space="preserve">Significant visual impairment - permanent and irreversible</t>
  </si>
  <si>
    <t xml:space="preserve">Single lobectomy - removal of a complete lobe of a lung</t>
  </si>
  <si>
    <t xml:space="preserve">Surgical removal of one eye</t>
  </si>
  <si>
    <t xml:space="preserve">Syringomyelia or Syringobulbia treated by surgery</t>
  </si>
  <si>
    <t xml:space="preserve">Thyroid Cancer - early stage treated with surgery</t>
  </si>
  <si>
    <t xml:space="preserve">Total colectomy - including colectomy for ulcerative colitis</t>
  </si>
  <si>
    <t xml:space="preserve">Summary of -05 tier coding for Office D additional-payment conditions (live)</t>
  </si>
  <si>
    <t xml:space="preserve">coded Full</t>
  </si>
  <si>
    <t xml:space="preserve">coded Not covered</t>
  </si>
  <si>
    <t xml:space="preserve">coded Partial</t>
  </si>
  <si>
    <t xml:space="preserve">S25</t>
  </si>
  <si>
    <t xml:space="preserve">Office D Term Life Insurance - Product Information and Terms and Conditions (correct as at May 2025)</t>
  </si>
  <si>
    <t xml:space="preserve">Term Life Insurance booklet, Part one s.3 and Part three s.4.3, 4.7, 4.8</t>
  </si>
  <si>
    <t xml:space="preserve">Published full-payment and additional-payment split; the counts are members of the unattributed sets stated in the papers, with the per-office mapping held in the internal register.</t>
  </si>
  <si>
    <t xml:space="preserve">S26</t>
  </si>
  <si>
    <t xml:space="preserve">Office D angioplasty additional payment</t>
  </si>
  <si>
    <t xml:space="preserve">Office D (headings 16-18)</t>
  </si>
  <si>
    <t xml:space="preserve">Term Life Insurance booklet p.12 (Important points)</t>
  </si>
  <si>
    <t xml:space="preserve">EUR 10,000 on a single-vessel angioplasty and a further EUR 30,000 on a second coronary artery (may be less in some situations). Total maximum used as upper bound.</t>
  </si>
  <si>
    <t xml:space="preserve">S27</t>
  </si>
  <si>
    <t xml:space="preserve">Office D pre-payment of surgery benefit</t>
  </si>
  <si>
    <t xml:space="preserve">Office D (heading 5; aorta graft, CABG, heart valve, heart structural repair)</t>
  </si>
  <si>
    <t xml:space="preserve">Term Life Insurance booklet p.11-12</t>
  </si>
  <si>
    <t xml:space="preserve">EUR 30,000 or SI cover if lower, paid immediately and deducted from the SI benefit (an advance, not an additional benefit). Major organ transplant: full SI cover paid up front on official waiting list.</t>
  </si>
  <si>
    <t xml:space="preserve">S28</t>
  </si>
  <si>
    <t xml:space="preserve">Office D specified illness claims 2025</t>
  </si>
  <si>
    <t xml:space="preserve">Office D (claims-side check only; firewall applies)</t>
  </si>
  <si>
    <t xml:space="preserve">claims</t>
  </si>
  <si>
    <t xml:space="preserve">Provider claims disclosure; press and portal citations held in the internal register.</t>
  </si>
  <si>
    <t xml:space="preserve">S29</t>
  </si>
  <si>
    <t xml:space="preserve">HIPE annual report 2023 (most recent directly retrievable)</t>
  </si>
  <si>
    <t xml:space="preserve">discharges (all, 2023)</t>
  </si>
  <si>
    <t xml:space="preserve">Activity in Acute Public Hospitals in Ireland Annual Report, 2023 (ISBN 978-1-78602-254-7; version HIPE_2023_ASOF_0324_V13_CLOSE)</t>
  </si>
  <si>
    <t xml:space="preserve">Healthcare Pricing Office, HSE (Sept 2024)</t>
  </si>
  <si>
    <t xml:space="preserve">2026-09-09</t>
  </si>
  <si>
    <t xml:space="preserve">Extract reached p.54. Tail-bound tables: 3.11 Principal Diagnosis by Sex and Age Group (p.68); 3.13 All-Listed Diagnoses (p.74); 3.14 Principal Procedure by Sex and Age Group (p.79); 3.16 All-Listed Procedures (p.84) - extraction pending (second pass). Public hospitals only; private not included.</t>
  </si>
  <si>
    <t xml:space="preserve">S30</t>
  </si>
  <si>
    <t xml:space="preserve">HIPE scope statement - episodes not persons</t>
  </si>
  <si>
    <t xml:space="preserve">Method (Appendix D)</t>
  </si>
  <si>
    <t xml:space="preserve">HIPE 2023 Annual Report s.1.6 Scope of HIPE Data, p.7</t>
  </si>
  <si>
    <t xml:space="preserve">Each record is one episode of care; patients may be admitted more than once; data 'do not permit ... estimate the incidence or prevalence of a particular disease'. Primary basis for treating HIPE counts as certified upper bounds on person incidence.</t>
  </si>
  <si>
    <t xml:space="preserve">S31</t>
  </si>
  <si>
    <t xml:space="preserve">HIPE 2023 total discharges by age band (all)</t>
  </si>
  <si>
    <t xml:space="preserve">Denominator context</t>
  </si>
  <si>
    <t xml:space="preserve">discharges</t>
  </si>
  <si>
    <t xml:space="preserve">HIPE 2023 Annual Report Table 2.1a, p.19</t>
  </si>
  <si>
    <t xml:space="preserve">25-34: 155,487; 35-44: 214,811; 45-54: 241,563; 55-64: 304,831; 65-74: 356,109; 75-84: 291,585; 85+: 96,742. Working-age (25-64) share of all discharges = 49.2% (ARITHMETIC).</t>
  </si>
  <si>
    <t xml:space="preserve">S32</t>
  </si>
  <si>
    <t xml:space="preserve">HIPE 2023 discharge-rate population basis</t>
  </si>
  <si>
    <t xml:space="preserve">Denominator source</t>
  </si>
  <si>
    <t xml:space="preserve">HIPE 2023 Annual Report Table 1.1 notes; Figure 2.3 source</t>
  </si>
  <si>
    <t xml:space="preserve">Healthcare Pricing Office citing CSO</t>
  </si>
  <si>
    <t xml:space="preserve">https://data.cso.ie/</t>
  </si>
  <si>
    <t xml:space="preserve">Population estimates 2023 from CSO Table PEA01 / PEA11 (by sex and age group). Identifies the CSO table for the S21 GAP (population denominator).</t>
  </si>
  <si>
    <t xml:space="preserve">S33</t>
  </si>
  <si>
    <t xml:space="preserve">ODTI Annual Report 2021 (statutory annual report)</t>
  </si>
  <si>
    <t xml:space="preserve">Major organ transplant (133); kidney failure context</t>
  </si>
  <si>
    <t xml:space="preserve">transplants (2021)</t>
  </si>
  <si>
    <t xml:space="preserve">Organ Donation Transplant Ireland Annual Report 2021 (ODTI-RPT-001/21 Rev 2), produced under S.I. 325 (2012) Part 5</t>
  </si>
  <si>
    <t xml:space="preserve">HSE - Organ Donation Transplant Ireland</t>
  </si>
  <si>
    <t xml:space="preserve">Table 2 five-year summary 2017-2021; deceased donors 99/81/85/63/65; living kidney 51/40/25/28/35. Statutory basis: HSE shall draw up and make publicly accessible an annual report (SI 325/2012). Later editions (2022, 2023) to be located for the two missing years.</t>
  </si>
  <si>
    <t xml:space="preserve">S34</t>
  </si>
  <si>
    <t xml:space="preserve">HIPE 2022 annual report (insurer-independent hospital activity; hpo.ie primary)</t>
  </si>
  <si>
    <t xml:space="preserve">Tail headings - HIPE rows; denominators</t>
  </si>
  <si>
    <t xml:space="preserve">total discharges (2022)</t>
  </si>
  <si>
    <t xml:space="preserve">Activity in Acute Public Hospitals in Ireland Annual Report 2022 (ISBN 978-1-78602-234-9; HIPE_2022_ASOF_0323_V16_CLOSE)</t>
  </si>
  <si>
    <t xml:space="preserve">Healthcare Pricing Office, HSE (Sept 2023)</t>
  </si>
  <si>
    <t xml:space="preserve">https://www.hpo.ie/latest_hipe_nprs_reports/HIPE_2022/Activity%20in%20Acute%20Public%20Hospitals%20in%20Ireland%202022%20Annual%20Report%20(September%202023).pdf</t>
  </si>
  <si>
    <t xml:space="preserve">2026-09-17</t>
  </si>
  <si>
    <t xml:space="preserve">Fetched from hpo.ie directly (pp.1-54). Table map for tail bounds: 3.11 Principal Diagnosis by Sex/Age p.68; 3.14 Principal Procedure by Sex/Age p.79; 3.16 All-Listed Procedures p.84. Age-band total discharges (T2.1a): 25-34 146,317; 35-44 200,602; 45-54 219,354; 55-64 280,441 (working-age 25-64 = 846,714, 48.7%). Male (T2.1b): 39,518 / 66,651 / 98,208 / 145,341. Female excl maternity (T2.1c): 45,896 / 88,416 / 120,196 / 135,100. Population basis: Census 2022 (CSO FY006A), per report. Extraction beyond p.54 blocked by fetch-tool PDF cap (erratum E-36).</t>
  </si>
  <si>
    <t xml:space="preserve">S35</t>
  </si>
  <si>
    <t xml:space="preserve">CSO PxStat API route for population denominators</t>
  </si>
  <si>
    <t xml:space="preserve">All count-based sources (S21)</t>
  </si>
  <si>
    <t xml:space="preserve">PxStat RESTful API: ws.cso.ie/public/api.restful/PxStat.Data.Cube_API.ReadDataset/&lt;TABLE&gt;/CSV/1.0/en</t>
  </si>
  <si>
    <t xml:space="preserve">https://ws.cso.ie/public/api.restful/PxStat.Data.Cube_API.ReadDataset/EA037/CSV/1.0/en</t>
  </si>
  <si>
    <t xml:space="preserve">VERIFIED-PRIMARY (partial extract)</t>
  </si>
  <si>
    <t xml:space="preserve">Author-supplied URL fetched 2026-09-24: FY006A (Census 2022, population by sex, single year of age, administrative county) returns live CSV. State-level (Ireland) rows captured for Both sexes, ages 0-23; total population 5,149,139 confirmed. Full working-age bands not reachable in one fetch (county granularity inflates the file; truncation is always from the start). Next: locate the state-only census age table code by search, or author pastes its URL; alternatively PEA01 with a year filter is not supported by the simple RESTful pattern.</t>
  </si>
  <si>
    <t xml:space="preserve">S36</t>
  </si>
  <si>
    <t xml:space="preserve">HPO CSV table directory for HIPE 2022 - non-existence check</t>
  </si>
  <si>
    <t xml:space="preserve">hpo.ie/latest_hipe_nprs_reports/HIPE_2022/CSV/Section_3/ - Table_3.14.csv and Table_3.16.csv both return HTTP 404 (author-supplied URLs, fetched 2026-09-24)</t>
  </si>
  <si>
    <t xml:space="preserve">https://www.hpo.ie/latest_hipe_nprs_reports/HIPE_2022/CSV/Section_3/Table_3.14.csv</t>
  </si>
  <si>
    <t xml:space="preserve">GAP (route closed)</t>
  </si>
  <si>
    <t xml:space="preserve">The per-table CSV publication that existed for 2014-2017 (data.gov.ie harvest) was discontinued; no CSV directory exists for 2022. Tables 3.11/3.14/3.16 are therefore obtainable only from the report PDF (pp.68-86; fetch-extractor capped at ~p.54 - E-36) via author file-drop, sandbox allow-listing, or the HPO aggregate data request (HIPEData.Requests@hse.ie).</t>
  </si>
  <si>
    <t xml:space="preserve">S37</t>
  </si>
  <si>
    <t xml:space="preserve">HIPE 2025 annual report (author-supplied copy)</t>
  </si>
  <si>
    <t xml:space="preserve">total discharges (2025)</t>
  </si>
  <si>
    <t xml:space="preserve">Activity in Acute Public Hospitals in Ireland Annual Report 2025 (ISBN 978-1-78602-296-7; version HIPE_2025_ASOF_0326_V15_CLOSE; first published September 2026)</t>
  </si>
  <si>
    <t xml:space="preserve">Authenticity: ISBN in HSE 978-1-78602 sequence; QuarkXPress creation 07 Sep 2026; back-year cross-check exact vs hpo.ie-verified editions (2022: 1,739,724; 2023: 1,862,125). Five-year series 2021-2025: 1,627,914 / 1,739,724 / 1,862,125 / 1,959,166 / 2,002,115. hpo.ie original to be confirmed at publication.</t>
  </si>
  <si>
    <t xml:space="preserve">S38</t>
  </si>
  <si>
    <t xml:space="preserve">HIPE 2025 Tables 3.11/3.13/3.14/3.16 - extraction record</t>
  </si>
  <si>
    <t xml:space="preserve">Tail_bounds AF-AI</t>
  </si>
  <si>
    <t xml:space="preserve">pdftotext -layout parse of PDF pages 84-85, 90-92, 95-96, 100-101; row format Category, Code, then M/F/Total x (&lt;15, 15-44, 45-64, &gt;=65, Total)</t>
  </si>
  <si>
    <t xml:space="preserve">(extraction of S37)</t>
  </si>
  <si>
    <t xml:space="preserve">hipe2025_T311.csv / T313.csv / T314.csv / T316.csv (delivered with build b7)</t>
  </si>
  <si>
    <t xml:space="preserve">ARITHMETIC</t>
  </si>
  <si>
    <t xml:space="preserve">96/99/35/36 rows parsed; M+F=Total verified on all three key columns of every row (0 failures). All-listed tables (3.13/3.16) preferred over principal for bounds (larger, conservative). Column-order near-miss in a working print caught before any entry (erratum E-40); workbook entries read from the verified CSVs by header name.</t>
  </si>
  <si>
    <t xml:space="preserve">S39</t>
  </si>
  <si>
    <t xml:space="preserve">CSO Census 2022 - FY006A (JSON-stat 2.0) - single year of age x sex x administrative county</t>
  </si>
  <si>
    <t xml:space="preserve">Tail_bounds AK/AL inputs; AF7/AG7 denominators</t>
  </si>
  <si>
    <t xml:space="preserve">All ages, both sexes (position 0)</t>
  </si>
  <si>
    <t xml:space="preserve">PxStat API, JSON-stat 2.0; dimension order [STATISTIC, CensusYear, Sex, Age, County], size [1,1,3,102,32]; Ireland = county index 0; value(age a) at position (a+1)x32</t>
  </si>
  <si>
    <t xml:space="preserve">https://ws.cso.ie/public/api.restful/PxStat.Data.Cube_API.ReadDataset/FY006A/JSON-stat/2.0/en (author-pasted URL; full array returned)</t>
  </si>
  <si>
    <t xml:space="preserve">Verification: ages 15-23 match the S35 CSV fetch exactly (9 anchors); All-ages = 5,149,139; Male (2,544,549) + Female (2,604,590) = total. Bands (live SUM formulas): 15-44 = 2,067,195; 45-64 = 1,293,342 (15-64 = 65.3% of total). De-facto census basis; 2022 denominators vs 2025 HIPE counts bias rates UP (population growth since census) - conservative for upper bounds. Unisex rates per -05 s.2.5.</t>
  </si>
  <si>
    <t xml:space="preserve">S40</t>
  </si>
  <si>
    <t xml:space="preserve">HSE - An Overview of Cardiac Rehabilitation Services in Ireland (Nov 2024) - CORROBORATION ONLY</t>
  </si>
  <si>
    <t xml:space="preserve">Validation of cardiac bound scales (no workbook input)</t>
  </si>
  <si>
    <t xml:space="preserve">priority-group episodes 2023 (de-duplicated)</t>
  </si>
  <si>
    <t xml:space="preserve">HIPE 2023, principal diagnosis/procedure, adults, public hospitals, de-duplicated across groups per Petty-Saphon (2016) methodology: ACS (I20.0/I21/I22/I24) 8,414; revascularisation (PCI or CABG, ACHI 670-679) 5,855 (2,918 without ACS + 2,937 with ACS); heart failure only (I50) 7,219</t>
  </si>
  <si>
    <t xml:space="preserve">HSE National Heart Programme (Prevention Sub-Group)</t>
  </si>
  <si>
    <t xml:space="preserve">https://www.hse.ie/eng/services/publications/an-overview-of-cardiac-rehabilitation-services-in-ireland.pdf (fetched in full)</t>
  </si>
  <si>
    <t xml:space="preserve">Corroborates, does not tighten: all-ages principal-coded 2023 counts sit consistently above/around the banded 2025 numerators in use (PCI+CABG 5,855 all-ages vs T3.16 PCI all-ages 5,850 all-listed; I50 7,219+ vs 2,936 in-band). Document states explicitly that HIPE does not capture private-hospital admissions - primary-source support for the global private-sector limitation and the S13 angioplasty uplift. Not used as a bound or incidence input anywhere.</t>
  </si>
  <si>
    <t xml:space="preserve">S41</t>
  </si>
  <si>
    <t xml:space="preserve">National Review of Adult Specialist Cardiac Services in Ireland (Dept. of Health, published 08 Apr 2025; report dated 2023) - author-supplied copy</t>
  </si>
  <si>
    <t xml:space="preserve">Cardiac cluster context; promotion-queue record</t>
  </si>
  <si>
    <t xml:space="preserve">total cardiac procedures 2019 (&gt;45,000; ~35,000 in 2021)</t>
  </si>
  <si>
    <t xml:space="preserve">Ch.5.4 HIPE-based cath-lab activity 2013-2021 (public acute hospitals): PCI ~6,300 (2019) / 5,200 (2021); device insertions (PPM+ICD combined, all ages) 13.4% of 2019 activity (~6,030) and 15.7% of 2021 (~5,500); percutaneous valvular procedures 141 (2013) to 342 (2019); coronary angiography ~25,000 (2019); cardioversion ~3,000 (2019). Ch.5.6: NOCA IHAA 2017-2020 STEMI yearly average 1,407 (1,427/1,502/1,400/1,300).</t>
  </si>
  <si>
    <t xml:space="preserve">Department of Health (Steering Group chair: Prof. Philip Nolan)</t>
  </si>
  <si>
    <t xml:space="preserve">VERIFIED-PRIMARY (vintage-limited)</t>
  </si>
  <si>
    <t xml:space="preserve">Vintage 2019/2021 - certified for its data years, NOT certified-current vs the 2025 counts in use, so no live bound is replaced. The report contains NO cardiac-surgery volumes (CABG/surgical valve/aorta - no published national source identified anywhere) and no carotid data (zero occurrences in 267pp). Its data-limitations section (p.95) states private-hospital activity is effectively invisible - further primary support for the global limitation. Value to the paper: narrative context establishing true per-cluster scales (devices ~6k/yr vs the 31k-episode chapter numerator; percutaneous valve interventions ~342/yr) and corroboration of S15 (1,615 STEMI 2024 sits above the 2017-2020 average of 1,407, consistent with post-COVID recovery).</t>
  </si>
  <si>
    <t xml:space="preserve">S42</t>
  </si>
  <si>
    <t xml:space="preserve">Office E current-vintage verification (M4)</t>
  </si>
  <si>
    <t xml:space="preserve">55 main + 36 partial specified illnesses (current)</t>
  </si>
  <si>
    <t xml:space="preserve">Full current condition lists pp.29-30; surgery payment 12.5% max EUR32,500 (major) / 5% max EUR13,000 (listed) up to 4 payments max lower of 50% of benefit or EUR130,000; children's SIB 50% max EUR25,000 main / EUR7,500 partial; accident/hospital/broken-bones ancillary schedule; brochure defers full definitions to the policy conditions</t>
  </si>
  <si>
    <t xml:space="preserve">S43</t>
  </si>
  <si>
    <t xml:space="preserve">Office E re-rank basis (M4 resolution)</t>
  </si>
  <si>
    <t xml:space="preserve">current policy conditions, 45pp, full definitions</t>
  </si>
  <si>
    <t xml:space="preserve">Completes the office-E source set with S12 (caps) and S42 (current lists): the revision session can now execute the full current re-rank of E's 135 rows and the tier remap on primary current documents, retiring the referee's M4 finding outright rather than by disclosure. The 65 provisional-rank flags clear only through that re-rank; until then every E figure remains provisional-basis.</t>
  </si>
  <si>
    <t xml:space="preserve">S44</t>
  </si>
  <si>
    <t xml:space="preserve">Office D - live specified-illness lists (48 full-payment; 41 additional-payment at EUR15,000 or 50% if lower, separate and non-affecting)</t>
  </si>
  <si>
    <t xml:space="preserve">Referral E-90 resolution; S25-S27 current-vintage confirmation</t>
  </si>
  <si>
    <t xml:space="preserve">48 full + 41 additional (current)</t>
  </si>
  <si>
    <t xml:space="preserve">Full-payment list read in full from the live page: includes 'Crohn's disease - of specified severity', 'Peripheral Vascular Disease - with bypass surgery', 'Third Degree Burns - of specified surface area' - the three referred headings' subject conditions, in the canonical severity/surgical forms; the additional list carries lesser variants (e.g. colectomy for ulcerative colitis).</t>
  </si>
  <si>
    <t xml:space="preserve">RESOLVES the E-90 referral by citation: canonical #26/#51/#134 map to conditions on the CURRENT full-payment list, confirming the -05 erratum ruling (these three remain Full); the referee's contrary reading fails for these headings. Also confirms the 48+41 erratum basis at current vintage.</t>
  </si>
  <si>
    <t xml:space="preserve">S45</t>
  </si>
  <si>
    <t xml:space="preserve">Office C angioplasty coding (M7); -05 matrix referral</t>
  </si>
  <si>
    <t xml:space="preserve">maximum total: 50% of SI sum insured, max EUR100,000 (accelerating)</t>
  </si>
  <si>
    <t xml:space="preserve">Automatic additional benefit; structured events: first Single Angioplasty Event max EUR5,000; second max EUR95,000; Double Angioplasty Event max EUR100,000; each payment REDUCES current and future Serious Illness and PTD sums insured (accelerating).</t>
  </si>
  <si>
    <t xml:space="preserve">Coding corrected at b31 on these terms: Office C #16/#18 b = 0.5 (the 50% total ceiling; the EUR100,000 cap does not bind below it at S = 161,000), #17 single-vessel b = 5,000/161,000 = 0.031 (was 1 via the Full tier - overstated, safe direction, but wrong as contract fact). The Full TIER itself is an -05 matrix miscoding candidate (contract: capped accelerating additional benefit) - REFERRED to the author as an -05 erratum-class correction, per the Office D precedent.</t>
  </si>
  <si>
    <t xml:space="preserve">S46</t>
  </si>
  <si>
    <t xml:space="preserve">Office A angioplasty structure; current-vintage read set</t>
  </si>
  <si>
    <t xml:space="preserve">angioplasty partial: EUR50,000 or 50% if lower; EUR5,000 single event + EUR45,000 second artery</t>
  </si>
  <si>
    <t xml:space="preserve">Verifies S09/D11 (EUR50,000 angioplasty cap) and adds the event structure: single-vessel first event EUR5,000 - #17 coded accordingly at b32 (was 0.311 via the EUR50,000 override: overstated, safe direction, wrong as contract fact).</t>
  </si>
  <si>
    <t xml:space="preserve">S47</t>
  </si>
  <si>
    <t xml:space="preserve">Office B Ireland - specified illness cover, live product page and definitions guide</t>
  </si>
  <si>
    <t xml:space="preserve">Office B caps at current vintage</t>
  </si>
  <si>
    <t xml:space="preserve">partial: EUR20,000 or half, 45 illnesses; angioplasty single vessel EUR5,000 or half</t>
  </si>
  <si>
    <t xml:space="preserve">Verifies S06 at current vintage (EUR20,000 general; EUR5,000 single-vessel) - #17 coded accordingly at b32 (was 0.124 via the general cap: overstated, safe direction, wrong as contract fact).</t>
  </si>
  <si>
    <t xml:space="preserve">S48</t>
  </si>
  <si>
    <t xml:space="preserve">Office C census basis</t>
  </si>
  <si>
    <t xml:space="preserve">47 full + 28 partial listed; angioplasty 5,000/95,000/100,000; partial 50% max 15,000</t>
  </si>
  <si>
    <t xml:space="preserve">Current by content (territorial limits and levy 'as at July 2026'). Both complete condition lists carried; angioplasty structure verbatim as S45; Booster (200% max 50,000), Overseas Surgery 12,500, Waiting List pre-payment, Surgical Cash layers documented.</t>
  </si>
  <si>
    <t xml:space="preserve">2026-09-25</t>
  </si>
  <si>
    <t xml:space="preserve">C census run both directions: full tier clean (44 agree + PTD #45, Paralysis pending row-choice, Terminal -&gt; #4); partial tier: #4 Not covered -&gt; Ancillary, #36 Eye Stroke Not covered -&gt; Partial, #104 (named Early Stage Bladder heading) Not covered -&gt; Partial APPLIED at b2; the combined 'Cancer in situ - with surgery' heading against 20 canonical CIS rows at Not covered, plus the Paralysis row choice (#46 vs #47), PEND the policy document definitions (Appendices B and E) - requested from the author.</t>
  </si>
  <si>
    <t xml:space="preserve">S49</t>
  </si>
  <si>
    <t xml:space="preserve">Office D - live additional-payment list, complete (41 conditions)</t>
  </si>
  <si>
    <t xml:space="preserve">Office D partial-tier census completion</t>
  </si>
  <si>
    <t xml:space="preserve">41 additional at 15,000 or 50% if lower</t>
  </si>
  <si>
    <t xml:space="preserve">Complete list read at the live page; independently confirms #12 (balloon valvuloplasty absent from both current lists).</t>
  </si>
  <si>
    <t xml:space="preserve">D partial census both directions: CLEAN - 33 direct agreements, CRAO -&gt; #36 Partial, AVM -&gt; #33 Partial, dual-variant convention on Crohn's/PVD, GIST -&gt; #109; beyond-canonical items consistent with the market (early prostate/thyroid, burns 5%); the maternity/specialty partial block (#55, #110, #115-118) sits in Office D's separate pregnancy benefit exactly as the matrix codes it. Office D closes fully: 1 correction total (#12).</t>
  </si>
  <si>
    <t xml:space="preserve">S50</t>
  </si>
  <si>
    <t xml:space="preserve">M2 claims-by-cause validation</t>
  </si>
  <si>
    <t xml:space="preserve">EUR17.9m SI claims paid 2021; cancer 76% of female / 51% of male claims; heart 31% male / 6% female</t>
  </si>
  <si>
    <t xml:space="preserve">Published claims mix by cause and gender.</t>
  </si>
  <si>
    <t xml:space="preserve">Engine head-family shares (office C, live cells): male cancer 45.4%/heart 34.1%/stroke 18.6%; female cancer 69.1%/heart 11.4%/stroke 16.0% - direction, ordering and gender asymmetry reproduce the published mix within single-digit wedges, with the scope and weighting differences stated. M2 resolved as a validation panel with caveats, per the referee's ask.</t>
  </si>
  <si>
    <t xml:space="preserve">S51</t>
  </si>
  <si>
    <t xml:space="preserve">C CIS site-generality + Paralysis mapping; comparative context for the ranking brief</t>
  </si>
  <si>
    <t xml:space="preserve">Office C CIS 'with surgery' UNQUALIFIED vs Office B/Office D marked 'limited'; Paralysis one-limb (Office B then two)</t>
  </si>
  <si>
    <t xml:space="preserve">Office C's own five-office comparison. Its own in-situ cover shown unrestricted against competitors' limited (named-site) cover - Office C's explicit comparative claim of site-generality; also carries Office C's characterisations of the head-family gates (MS bare vs others' persistence gates; HA 'with clinical proof' vs 'of specified severity') for the ranking brief with the Feb-2020 vintage flagged.</t>
  </si>
  <si>
    <t xml:space="preserve">VERIFIED-PRIMARY (vintage Feb 2020/Nov 2021)</t>
  </si>
  <si>
    <t xml:space="preserve">Basis for the C CIS-block corrections (with S48's unchanged current heading and the author's attestation, requested, that the current Appendix E definition remains site-general) and the #47 Paralysis mapping by the Office B-equivalent convention. Historical corroborations: Office E RA already uncovered at Feb 2020; Office B/Office D CIS then limited, since expanded - all consistent with the censuses.</t>
  </si>
  <si>
    <t xml:space="preserve">S52</t>
  </si>
  <si>
    <t xml:space="preserve">R3 validation series</t>
  </si>
  <si>
    <t xml:space="preserve">2025: cancer 66% of SI claims, 77% of women's; 2022: 57% men / 83% women</t>
  </si>
  <si>
    <t xml:space="preserve">Figures per the round-2 referee's verified transcription (report v2.0.0, registered upload) with source URLs; one confirmation fetch queued at the release pass.</t>
  </si>
  <si>
    <t xml:space="preserve">2026-09-29</t>
  </si>
  <si>
    <t xml:space="preserve">VERIFIED-PRIMARY (fetch-confirmed 2026-09-29: live page states 66% of SI claims / 77% of women's for 2025 verbatim; series extended by Office C's own documents - 2023: 66/85; 2024: 68/80 per DOC_5290)</t>
  </si>
  <si>
    <t xml:space="preserve">Used in the extended validation panel; the containment analysis holds on the 2021 figures alone.</t>
  </si>
  <si>
    <t xml:space="preserve">List_length_06 - condition-count variants vs value (additive tab). Marketed counts link to Sources_06; canonical counts live from Coverage_Summary; value live from Portfolio.</t>
  </si>
  <si>
    <t xml:space="preserve">EPV column is the six-family head from the -05 engine; to be superseded by the extended head (Head_EPV_06 + promoted headings) when built. Descriptive only - no inferential statistics (n=5).</t>
  </si>
  <si>
    <t xml:space="preserve">Marketed count (held internally)</t>
  </si>
  <si>
    <t xml:space="preserve">Any adult tier (Full+Partial+Ancillary)</t>
  </si>
  <si>
    <t xml:space="preserve">Check =135</t>
  </si>
  <si>
    <t xml:space="preserve">Head EPV (six-family, avg buyer 35)</t>
  </si>
  <si>
    <t xml:space="preserve">Market FV (avg buyer)</t>
  </si>
  <si>
    <t xml:space="preserve">(held internally)</t>
  </si>
  <si>
    <t xml:space="preserve">Rank: head EPV</t>
  </si>
  <si>
    <t xml:space="preserve">Rank: market FV</t>
  </si>
  <si>
    <t xml:space="preserve">Rank: any-tier</t>
  </si>
  <si>
    <t xml:space="preserve">Rank: full-tier</t>
  </si>
  <si>
    <t xml:space="preserve">AvgRank any</t>
  </si>
  <si>
    <t xml:space="preserve">AvgRank full</t>
  </si>
  <si>
    <t xml:space="preserve">AvgRank headEPV</t>
  </si>
  <si>
    <t xml:space="preserve">AvgRank FV</t>
  </si>
  <si>
    <t xml:space="preserve">Spearman rank correlation with value (ARITHMETIC; descriptive)</t>
  </si>
  <si>
    <t xml:space="preserve">Spearman rho, marketed count vs head EPV / market FV — CAPTURED from the internal register (release copy)</t>
  </si>
  <si>
    <t xml:space="preserve">Count variant</t>
  </si>
  <si>
    <t xml:space="preserve">Spearman rho, marketed count vs market FV — captured value; see B11</t>
  </si>
  <si>
    <t xml:space="preserve">vs FV</t>
  </si>
  <si>
    <t xml:space="preserve">Spearman rho (n=5, descriptive): any-tier vs head EPV / vs FV; full-tier vs head EPV / vs FV</t>
  </si>
  <si>
    <t xml:space="preserve">Tie-adjusted Spearman (CORREL of average ranks): any/head, any/FV, full/head, full/FV</t>
  </si>
  <si>
    <t xml:space="preserve">Marketed counts, unattributed sorted set: 70, 89, 91, 97, 112 (per-office mapping in the internal register)</t>
  </si>
  <si>
    <t xml:space="preserve">Tail_bounds - upper bounds for headings outside the computed head (additive tab). Bound = q_annual x b_bar x S_SI x annuity, at w = 1. Blank q_bar gives a blank bound; nothing is estimated.</t>
  </si>
  <si>
    <t xml:space="preserve">q_bar is entered as a rate per 100,000 working-age population per year and converted with the engine convention q = 1 - EXP(-rate/100000). Every entered q_bar must cite a Sources_06 ID with a VERIFIED status. Status defaults to GAP.</t>
  </si>
  <si>
    <t xml:space="preserve">Annuity - Sv all 35-64 (reference life)</t>
  </si>
  <si>
    <t xml:space="preserve">Promotion trigger (share of head EPV)</t>
  </si>
  <si>
    <t xml:space="preserve">CSO pop 15-44 both sexes (Census 2022) - INPUT</t>
  </si>
  <si>
    <t xml:space="preserve">CSO pop 45-64 both sexes (Census 2022) - INPUT</t>
  </si>
  <si>
    <t xml:space="preserve">Angioplasty private-sector uplift (S13)</t>
  </si>
  <si>
    <t xml:space="preserve">Office A angioplasty cap override (S)</t>
  </si>
  <si>
    <t xml:space="preserve">Cap Office B</t>
  </si>
  <si>
    <t xml:space="preserve">Cap Office D (non-AD rows)</t>
  </si>
  <si>
    <t xml:space="preserve">Cap Office E (S12: 15,000; angioplasty override in AS)</t>
  </si>
  <si>
    <t xml:space="preserve">Cap Office A</t>
  </si>
  <si>
    <t xml:space="preserve">Cap Office C</t>
  </si>
  <si>
    <t xml:space="preserve">Head EPV denominator: age-35 average buyer, six-family head (live)</t>
  </si>
  <si>
    <t xml:space="preserve">Additive columns for the Office D coding finding (erratum E-17). Benefit_b untouched; -05 base unchanged.</t>
  </si>
  <si>
    <t xml:space="preserve">b_bar Office D contractual: S25 (EUR 15,000) for additional-payment headings; S26 (EUR 40,000 angioplasty maximum) for headings 16-18.</t>
  </si>
  <si>
    <t xml:space="preserve">q_bar formula for HIPE-fed rows: MAX(count1544/pop1544, count4564/pop4564) x100k x uplift; counts are episode upper bounds on persons (S30); vintage 2025 counts / 2022 census denominators (conservative).</t>
  </si>
  <si>
    <t xml:space="preserve">Tier Office B</t>
  </si>
  <si>
    <t xml:space="preserve">Tier Office D</t>
  </si>
  <si>
    <t xml:space="preserve">Tier Office E</t>
  </si>
  <si>
    <t xml:space="preserve">Tier Office A</t>
  </si>
  <si>
    <t xml:space="preserve">Tier Office C</t>
  </si>
  <si>
    <t xml:space="preserve">b_bar Office B</t>
  </si>
  <si>
    <t xml:space="preserve">b_bar Office D</t>
  </si>
  <si>
    <t xml:space="preserve">b_bar Office E</t>
  </si>
  <si>
    <t xml:space="preserve">b_bar Office A</t>
  </si>
  <si>
    <t xml:space="preserve">b_bar Office C</t>
  </si>
  <si>
    <t xml:space="preserve">q_bar rate/100k</t>
  </si>
  <si>
    <t xml:space="preserve">q annual</t>
  </si>
  <si>
    <t xml:space="preserve">Source ID</t>
  </si>
  <si>
    <t xml:space="preserve">Bound Office B</t>
  </si>
  <si>
    <t xml:space="preserve">Bound Office D</t>
  </si>
  <si>
    <t xml:space="preserve">Bound Office E</t>
  </si>
  <si>
    <t xml:space="preserve">Bound Office A</t>
  </si>
  <si>
    <t xml:space="preserve">Bound Office C</t>
  </si>
  <si>
    <t xml:space="preserve">% of head Office B</t>
  </si>
  <si>
    <t xml:space="preserve">% of head Office D</t>
  </si>
  <si>
    <t xml:space="preserve">% of head Office E</t>
  </si>
  <si>
    <t xml:space="preserve">% of head Office A</t>
  </si>
  <si>
    <t xml:space="preserve">% of head Office C</t>
  </si>
  <si>
    <t xml:space="preserve">Flag</t>
  </si>
  <si>
    <t xml:space="preserve">Office D additional-payment (S22)</t>
  </si>
  <si>
    <t xml:space="preserve">b_bar Office D contractual (S07 / S_SI)</t>
  </si>
  <si>
    <t xml:space="preserve">HIPE 2025 count 15-44 (all-listed episodes, both sexes; episodes exceed persons)</t>
  </si>
  <si>
    <t xml:space="preserve">HIPE 2025 count 45-64</t>
  </si>
  <si>
    <t xml:space="preserve">HIPE row(s) used</t>
  </si>
  <si>
    <t xml:space="preserve">Uplift</t>
  </si>
  <si>
    <t xml:space="preserve">Group tag</t>
  </si>
  <si>
    <t xml:space="preserve">CSO FY006A - Ireland, both sexes, single year of age, Census 2022 (de facto) - INPUTS (S39)</t>
  </si>
  <si>
    <t xml:space="preserve">Office A cap override</t>
  </si>
  <si>
    <t xml:space="preserve">Office E angioplasty cap override</t>
  </si>
  <si>
    <t xml:space="preserve">Office C contractual b (S45)</t>
  </si>
  <si>
    <t xml:space="preserve">Office B contractual b (S47)</t>
  </si>
  <si>
    <t xml:space="preserve">EXCLUDED</t>
  </si>
  <si>
    <t xml:space="preserve">BOUNDED</t>
  </si>
  <si>
    <t xml:space="preserve">T3.13 M05-M06 all-listed: Rheumatoid arthritis [M05–]</t>
  </si>
  <si>
    <t xml:space="preserve">RA</t>
  </si>
  <si>
    <t xml:space="preserve">T3.16 cardiovascular chapter (group): Procedures on cardiovascular system [0600–0777]</t>
  </si>
  <si>
    <t xml:space="preserve">CARDIO</t>
  </si>
  <si>
    <t xml:space="preserve">T3.16 cardiovascular chapter (group): Procedures on cardiovascular system [0600–0777] | S41 context: percutaneous valvular procedures totalled 342 nationally in 2019 (all types, all ages) - true scale far below the chapter bound; vintage-limited, so the chapter bound remains the certified instrument.</t>
  </si>
  <si>
    <t xml:space="preserve">T3.16 cardiovascular chapter (group): Procedures on cardiovascular system [0600–0777] | S41 context: PPM+ICD insertions combined ~6,030 (2019) / ~5,500 (2021), all ages - ~5x below the chapter numerator; vintage-limited.</t>
  </si>
  <si>
    <t xml:space="preserve">T3.16 0670-0671 x1.5 private uplift (S13): Transluminal coronary angioplasty [0670–0671] | S41 corroboration: PCI ~6,300 (2019) / 5,200 (2021) nationally, consistent with the 2025 banded numerator in use.</t>
  </si>
  <si>
    <t xml:space="preserve">ANGIO</t>
  </si>
  <si>
    <t xml:space="preserve">Y</t>
  </si>
  <si>
    <t xml:space="preserve">T3.16 0670-0671 x1.5 private uplift (S13): Transluminal coronary angioplasty [0670–0671]</t>
  </si>
  <si>
    <t xml:space="preserve">T3.16 0672-0679 CABG: CABG [0672–0679]</t>
  </si>
  <si>
    <t xml:space="preserve">CABG</t>
  </si>
  <si>
    <t xml:space="preserve">T3.13 I50 all-listed: Heart failure [I50]</t>
  </si>
  <si>
    <t xml:space="preserve">HF</t>
  </si>
  <si>
    <t xml:space="preserve">T3.16 cardiovascular chapter (group): Procedures on cardiovascular system [0600–0777] | S41 finding: no published national volume exists for surgical valve procedures (Review excludes cardiac surgery; HIPE printed tables carry no valve row) - chapter bound is the only certified instrument.</t>
  </si>
  <si>
    <t xml:space="preserve">T3.16 cardiovascular chapter (group): Procedures on cardiovascular system [0600–0777] | S41 context: see #13 - device cluster ~6k/yr (2019), vintage-limited.</t>
  </si>
  <si>
    <t xml:space="preserve">T3.16 nervous+cardiovascular chapters (union group): Procedures on nervous system [0001–0086]; Procedures on cardiovascular system [0600–0777]</t>
  </si>
  <si>
    <t xml:space="preserve">NERVCARD</t>
  </si>
  <si>
    <t xml:space="preserve">T3.13 H00-H59 all-listed (group): Diseases of the eye and adnexa [H00–H59]</t>
  </si>
  <si>
    <t xml:space="preserve">EYEDIS</t>
  </si>
  <si>
    <t xml:space="preserve">T3.13 K50-K52 all-listed (disease-side group): Noninfective enteritis and colitis [K50–K52]</t>
  </si>
  <si>
    <t xml:space="preserve">ENTER</t>
  </si>
  <si>
    <t xml:space="preserve">T3.13 D50-D89 all-listed (group): Diseases of the blood and blood-forming organs [D50–D89]</t>
  </si>
  <si>
    <t xml:space="preserve">BLOOD</t>
  </si>
  <si>
    <t xml:space="preserve">T3.16 digestive chapter (group): Procedures on digestive system [0850–1011]</t>
  </si>
  <si>
    <t xml:space="preserve">DIGEST</t>
  </si>
  <si>
    <t xml:space="preserve">T3.16 nervous-system chapter (group): Procedures on nervous system [0001–0086]</t>
  </si>
  <si>
    <t xml:space="preserve">NERV</t>
  </si>
  <si>
    <t xml:space="preserve">T3.16 nervous+endocrine chapters (union group): Procedures on nervous system [0001–0086]; Procedures on endocrine system [0110–0129]</t>
  </si>
  <si>
    <t xml:space="preserve">NERVENDO</t>
  </si>
  <si>
    <t xml:space="preserve">T3.13 S06 all-listed: Intracranial injury [S06]</t>
  </si>
  <si>
    <t xml:space="preserve">TBI</t>
  </si>
  <si>
    <t xml:space="preserve">T3.13 D00-D09 all-listed (group, all CIS sites): In situ neoplasms [D00-D09]</t>
  </si>
  <si>
    <t xml:space="preserve">INSITU</t>
  </si>
  <si>
    <t xml:space="preserve">T3.13 E84 all-listed: Cystic fibrosis [E84]</t>
  </si>
  <si>
    <t xml:space="preserve">CF</t>
  </si>
  <si>
    <t xml:space="preserve">T3.16 respiratory chapter (group): Procedures on respiratory system [0520–0572]</t>
  </si>
  <si>
    <t xml:space="preserve">RESP</t>
  </si>
  <si>
    <t xml:space="preserve">T3.16 eye chapter (group): Procedures on eye and adnexa [0160–0256]</t>
  </si>
  <si>
    <t xml:space="preserve">EYEPROC</t>
  </si>
  <si>
    <t xml:space="preserve">T3.16 urinary chapter (group): Procedures on urinary system [1040–1129]</t>
  </si>
  <si>
    <t xml:space="preserve">URIN</t>
  </si>
  <si>
    <t xml:space="preserve">Rows with status GAP</t>
  </si>
  <si>
    <t xml:space="preserve">Rows with status EXCLUDED</t>
  </si>
  <si>
    <t xml:space="preserve">Rows flagged PROMOTE</t>
  </si>
  <si>
    <t xml:space="preserve">PROMOTE flags: dispositions consolidated in erratum #2 and the paper's Appendix C; the per-row trigger is retained as an internal audit aid.</t>
  </si>
  <si>
    <t xml:space="preserve">Sum of entered bounds (EUR)</t>
  </si>
  <si>
    <t xml:space="preserve">Entered bounds as share of head</t>
  </si>
  <si>
    <t xml:space="preserve">GROUP-ONCE TAIL AGGREGATION (each HIPE source counted once; union headings join every chapter they may code to; E-44 ii)</t>
  </si>
  <si>
    <t xml:space="preserve">Base source</t>
  </si>
  <si>
    <t xml:space="preserve">maxb Office B</t>
  </si>
  <si>
    <t xml:space="preserve">maxb Office D</t>
  </si>
  <si>
    <t xml:space="preserve">maxb Office E</t>
  </si>
  <si>
    <t xml:space="preserve">maxb Office A</t>
  </si>
  <si>
    <t xml:space="preserve">maxb Office C</t>
  </si>
  <si>
    <t xml:space="preserve">q_bar/100k</t>
  </si>
  <si>
    <t xml:space="preserve">NERV+CARDIO+ENDO chapters (once)</t>
  </si>
  <si>
    <t xml:space="preserve">Digestive chapter</t>
  </si>
  <si>
    <t xml:space="preserve">K50-K52 all-listed</t>
  </si>
  <si>
    <t xml:space="preserve">Urinary chapter</t>
  </si>
  <si>
    <t xml:space="preserve">Respiratory chapter</t>
  </si>
  <si>
    <t xml:space="preserve">Eye chapter (proc)</t>
  </si>
  <si>
    <t xml:space="preserve">H00-H59 all-listed</t>
  </si>
  <si>
    <t xml:space="preserve">D00-D09 in-situ</t>
  </si>
  <si>
    <t xml:space="preserve">D50-D89 blood</t>
  </si>
  <si>
    <t xml:space="preserve">Angioplasty 0670-0671 x1.5</t>
  </si>
  <si>
    <t xml:space="preserve">CABG 0672-0679</t>
  </si>
  <si>
    <t xml:space="preserve">Heart failure I50</t>
  </si>
  <si>
    <t xml:space="preserve">RA M05-M06</t>
  </si>
  <si>
    <t xml:space="preserve">Intracranial injury S06</t>
  </si>
  <si>
    <t xml:space="preserve">Cystic fibrosis E84</t>
  </si>
  <si>
    <t xml:space="preserve">TOTAL group-once tail bound</t>
  </si>
  <si>
    <t xml:space="preserve">as share of head EPV (E7:I7)</t>
  </si>
  <si>
    <t xml:space="preserve">M1 - CONTRACTUAL LIFETIME REACH PANEL (registered payment rules; complements the group-once EPV ceiling at S164:W164, a valid union bound under these rules)</t>
  </si>
  <si>
    <t xml:space="preserve">Full layer (pays once)</t>
  </si>
  <si>
    <t xml:space="preserve">Partial-layer rule</t>
  </si>
  <si>
    <t xml:space="preserve">Partial-layer lifetime cap (EUR)</t>
  </si>
  <si>
    <t xml:space="preserve">Contractual lifetime reach (EUR)</t>
  </si>
  <si>
    <t xml:space="preserve">each heading once; no total limit read (S47)</t>
  </si>
  <si>
    <t xml:space="preserve">ONE additional payment per person (S44, verbatim)</t>
  </si>
  <si>
    <t xml:space="preserve">layer total &lt;= SI benefit (S43, verbatim)</t>
  </si>
  <si>
    <t xml:space="preserve">each heading once; no total limit read (S46)</t>
  </si>
  <si>
    <t xml:space="preserve">layer total &lt;= SI sum insured (S48, verbatim)</t>
  </si>
  <si>
    <t xml:space="preserve">Note: the EPV ceiling is probability-weighted and respects once-per-heading payment; the layer rules tighten through the same union inequality, so the EPV bound stands. This panel states the monetary reach the contracts permit - office D's additional layer is the outlier at EUR15,000 lifetime.</t>
  </si>
  <si>
    <t xml:space="preserve">R5 CEILINGS (live): (i) head+tail; (ii) MIN(head+full-layer tail, S)+partial-layer tail; (iii) contractual lifetime reach; MIN = the valid full-policy ceiling</t>
  </si>
  <si>
    <t xml:space="preserve">(i) head+tail</t>
  </si>
  <si>
    <t xml:space="preserve">(ii) once-per-policy</t>
  </si>
  <si>
    <t xml:space="preserve">(iii) lifetime reach</t>
  </si>
  <si>
    <t xml:space="preserve">VALID CEILING (min)</t>
  </si>
  <si>
    <t xml:space="preserve">CORRECTED FLOOR (live): r63 numerator / valid ceiling</t>
  </si>
  <si>
    <t xml:space="preserve">Marginal_06 - per-heading marginal EPV by office (avg buyer, age 35, 50/50 M/F per -05 s.2.5). HEAD rows computed (live from Head_EPV_06); TAIL rows are certified upper bounds (lower bound 0) from Tail_bounds; PROMOTE = resolution queue (E-44/E-46).</t>
  </si>
  <si>
    <t xml:space="preserve">Additive tab; no -05 cell touched. GAP headings (57) and EXCLUDED (20) not shown: GAP carries no certified bound yet.</t>
  </si>
  <si>
    <t xml:space="preserve">Type</t>
  </si>
  <si>
    <t xml:space="preserve">Cancer (invasive)</t>
  </si>
  <si>
    <t xml:space="preserve">HEAD (computed)</t>
  </si>
  <si>
    <t xml:space="preserve">Carcinoma in situ - breast (DCIS)</t>
  </si>
  <si>
    <t xml:space="preserve">HEAD TOTAL (tie-out vs Tail_bounds E7:I7)</t>
  </si>
  <si>
    <t xml:space="preserve">TAIL - bounded headings (upper bounds; each group bound repeats across its member headings - see group-once totals on Tail_bounds for aggregation)</t>
  </si>
  <si>
    <t xml:space="preserve">TAIL (upper bound; lower 0)</t>
  </si>
  <si>
    <t xml:space="preserve">Robustness_06 - D13 placement-free envelopes (mechanical; replaces the D4 external-assessor instrument and exhibit T14)</t>
  </si>
  <si>
    <t xml:space="preserve">Scenario captures, not live formulas (rule-1 exception, E-52): produced by switching Wording_Scores C7:C11, full recalc, capture, restore of 1/0.8/0.6/0.4/0.2; positive control (values must move under the ceiling switch) and restoration (base values and the -05 governing check identical) verified in-build. CEILING = every rank at w=1.0 (equivalently tier-only and the P-C w=1 bound); FLOOR = every rank at w=0.2. Any ordinal ranking whatsoever - any assessor, any placement, including the 16 Office D provisional placements - yields results inside [FLOOR, CEILING]. Queued extension: per-heading independent extremes for share measures (CR-k).</t>
  </si>
  <si>
    <t xml:space="preserve">Measure</t>
  </si>
  <si>
    <t xml:space="preserve">Scenario</t>
  </si>
  <si>
    <t xml:space="preserve">Head EPV (avg buyer 35)</t>
  </si>
  <si>
    <t xml:space="preserve">BASE (v1.6.0 documentary ranks)</t>
  </si>
  <si>
    <t xml:space="preserve">Head EPV</t>
  </si>
  <si>
    <t xml:space="preserve">CEILING w=1.0</t>
  </si>
  <si>
    <t xml:space="preserve">FLOOR w=0.2</t>
  </si>
  <si>
    <t xml:space="preserve">Market FV</t>
  </si>
  <si>
    <t xml:space="preserve">BASE TIE-OUT (captured vs live; governed)</t>
  </si>
  <si>
    <t xml:space="preserve">Concentration_06 - head concentration, base and placement-free lower bounds (live formulas; D13 share extension)</t>
  </si>
  <si>
    <t xml:space="preserve">Per office: family contribution c_f (live from Marginal_06), w_f (live from Wording_Scores), rank-free value v_f = c_f / w_f (0 where the tier gate gives w = 0, which is itself placement-free). CR-k(base) = share of the k largest c_f in the head. CR-k lower bound = k largest-v families at w = 0.2 against all others at w = 1.0 - since the true top-k sum is &gt;= the sum over any named k families, this bounds CR-k from below under ANY admissible ranking (w in [0.2, 1.0] per covered family). N90 = smallest k with cumulative base share &gt;= 90%.</t>
  </si>
  <si>
    <t xml:space="preserve">family</t>
  </si>
  <si>
    <t xml:space="preserve">c_f (base)</t>
  </si>
  <si>
    <t xml:space="preserve">w_f</t>
  </si>
  <si>
    <t xml:space="preserve">v_f</t>
  </si>
  <si>
    <t xml:space="preserve">Head total / CR-1 / CR-2 / CR-3 (base)</t>
  </si>
  <si>
    <t xml:space="preserve">N90 (base)</t>
  </si>
  <si>
    <t xml:space="preserve">CR-1 / CR-3 lower bound (any ranking)</t>
  </si>
  <si>
    <t xml:space="preserve">cols E/F: CR-3 floor at weight floors 0.1 / 0.05 (E-77)</t>
  </si>
  <si>
    <t xml:space="preserve">FULL-POLICY STATEMENT (live). Lower bound on the top-3 families' share of TOTAL policy EPV: any-ranking CR-3 bound x head, against head + the verified group-once tail ceiling (Tail_bounds row 164). The ceiling is episode-granular and loose (E-44/E-49) - the gap between this bound and the head-only bound is attributable to public-data granularity, not to evidence of tail value; per-heading caps (Marginal_06) carry the sharp statements.</t>
  </si>
  <si>
    <t xml:space="preserve">Top-3 share of total EPV &gt;= (any ranking, certified tail ceiling)</t>
  </si>
  <si>
    <t xml:space="preserve">Age grid (E-81): CR-3 by attained age 30/35/40/45/50, avg buyer 50/50 M/F, live from Head_EPV_06</t>
  </si>
  <si>
    <t xml:space="preserve">CR-3 @ 30/35/40/45/50</t>
  </si>
  <si>
    <t xml:space="preserve">Market_06 - market-level per-heading values and Gini (D6; live)</t>
  </si>
  <si>
    <t xml:space="preserve">Market-level Gini: descriptive only; NO bound direction is asserted (the earlier lower-bound claim was withdrawn with the paper's §4.6; see erratum register).</t>
  </si>
  <si>
    <t xml:space="preserve">k</t>
  </si>
  <si>
    <t xml:space="preserve">Market value (head computed / tail upper bound)</t>
  </si>
  <si>
    <t xml:space="preserve">x_(k) sorted</t>
  </si>
  <si>
    <t xml:space="preserve">head sorted (n=6)</t>
  </si>
  <si>
    <t xml:space="preserve">head w=1 values (avg v_f)</t>
  </si>
  <si>
    <t xml:space="preserve">w=1 sorted</t>
  </si>
  <si>
    <t xml:space="preserve">coefficient (descriptive only; no bound claimed - see A2)</t>
  </si>
  <si>
    <t xml:space="preserve">Gini, head families only (n=6, base ranks)</t>
  </si>
  <si>
    <t xml:space="preserve">Gini, head families, w=1 (placement-free; v-shares averaged across offices)</t>
  </si>
  <si>
    <t xml:space="preserve">Exclusion exhibit - 20 headings out of scope by design (specification v4 s.3); listed live from Tail_bounds</t>
  </si>
  <si>
    <t xml:space="preserve">Bridge_05 - reconciliation of MWP-2026-05 v1.6.0 published results to the -06 basis (all live)</t>
  </si>
  <si>
    <t xml:space="preserve">Identity is enforced by Regression_05!B164 (governing). -06 adds head-only EPV decomposition, tail intervals, envelopes and exhibits; no -05 cell is altered.</t>
  </si>
  <si>
    <t xml:space="preserve">Quantity</t>
  </si>
  <si>
    <t xml:space="preserve">-05 v1.3.0 location</t>
  </si>
  <si>
    <t xml:space="preserve">-06 usage</t>
  </si>
  <si>
    <t xml:space="preserve">Market fair value, avg buyer</t>
  </si>
  <si>
    <t xml:space="preserve">Portfolio!F75:F79</t>
  </si>
  <si>
    <t xml:space="preserve">List_length_06 K; count-value exhibit</t>
  </si>
  <si>
    <t xml:space="preserve">Six-family head EPV, avg buyer 35</t>
  </si>
  <si>
    <t xml:space="preserve">(=(Portfolio M+F age-35)/2)</t>
  </si>
  <si>
    <t xml:space="preserve">Denominator of all tail shares; Concentration_06; Marginal_06 tie-out</t>
  </si>
  <si>
    <t xml:space="preserve">Governing regression check</t>
  </si>
  <si>
    <t xml:space="preserve">Regression_05!B164</t>
  </si>
  <si>
    <t xml:space="preserve">Must read INTACT in every build</t>
  </si>
  <si>
    <t xml:space="preserve">Sensitivity_06 - scenario captures (D13 harness: switch / recalc / positive control / capture / restore; restoration verified vs base and the governing -05 check in-build; rule-1 exception per E-52)</t>
  </si>
  <si>
    <t xml:space="preserve">Sensitivity_06 - rate and share scenarios on the v1.6.0 basis (round-3 re-capture); all captures tie to live base rows below.</t>
  </si>
  <si>
    <t xml:space="preserve">HEAD BASE (v1.6.0)</t>
  </si>
  <si>
    <t xml:space="preserve">HEAD r=2%</t>
  </si>
  <si>
    <t xml:space="preserve">HEAD r=4%</t>
  </si>
  <si>
    <t xml:space="preserve">FV BASE (v1.6.0)</t>
  </si>
  <si>
    <t xml:space="preserve">FV r=2%</t>
  </si>
  <si>
    <t xml:space="preserve">FV r=4%</t>
  </si>
  <si>
    <t xml:space="preserve">BASE TIE-OUT rows 5/8 vs live (governed)</t>
  </si>
  <si>
    <t xml:space="preserve">Rate scenarios on the v1.6.0 basis (round-2 re-run): CR-3 max move 0.1376 pp (r=2%) / 0.1478 pp (r=4%); N90 by office (Office B/Office D/Office E/Office A/Office C) = [2, 3, 3, 2, 3] at base and in both scenarios - N90 is 2 for A and B (CR-2 above 90 per cent) and 3 elsewhere; no threshold crossing occurs under the rate scenarios.</t>
  </si>
  <si>
    <t xml:space="preserve">CR-3 BASE v1.6.0</t>
  </si>
  <si>
    <t xml:space="preserve">CR-3 r=2%</t>
  </si>
  <si>
    <t xml:space="preserve">CR-3 r=4%</t>
  </si>
  <si>
    <t xml:space="preserve">CR-2 BASE v1.6.0</t>
  </si>
  <si>
    <t xml:space="preserve">CR-2 r=2%</t>
  </si>
  <si>
    <t xml:space="preserve">CR-2 r=4%</t>
  </si>
  <si>
    <t xml:space="preserve">BASE TIE-OUT (captured CR-3 base vs live; governed)</t>
  </si>
  <si>
    <t xml:space="preserve">[RETIRED - superseded by the R3 panel below] M2 VALIDATION - engine head-family share</t>
  </si>
  <si>
    <t xml:space="preserve">Engine male (band-30)</t>
  </si>
  <si>
    <t xml:space="preserve">Published male claims</t>
  </si>
  <si>
    <t xml:space="preserve">Engine female</t>
  </si>
  <si>
    <t xml:space="preserve">Published female</t>
  </si>
  <si>
    <t xml:space="preserve">[RETIRED - superseded by the R3 panel below] Cancer</t>
  </si>
  <si>
    <t xml:space="preserve">[RETIRED - superseded by the R3 panel below] Heart</t>
  </si>
  <si>
    <t xml:space="preserve">[RETIRED - superseded by the R3 panel below] Stroke</t>
  </si>
  <si>
    <t xml:space="preserve">[RETIRED - superseded by the R3 panel below] Wedges, stated: claim-count vs EPV weigh</t>
  </si>
  <si>
    <t xml:space="preserve">R3 EXTENDED VALIDATION - engine head cancer share (avg buyer 35) vs PUBLISHED cancer share of SI claims (Claims_2025 s.4; C's 2021 per S50; C's 2022/2025 per S52)</t>
  </si>
  <si>
    <t xml:space="preserve">Engine cancer share</t>
  </si>
  <si>
    <t xml:space="preserve">Published (2025 SI)</t>
  </si>
  <si>
    <t xml:space="preserve">Containment (engine &gt;= published) </t>
  </si>
  <si>
    <t xml:space="preserve">Cancer wording rank</t>
  </si>
  <si>
    <t xml:space="preserve">B</t>
  </si>
  <si>
    <t xml:space="preserve">satisfied, +19pp over</t>
  </si>
  <si>
    <t xml:space="preserve">D</t>
  </si>
  <si>
    <t xml:space="preserve">VIOLATED, -18pp</t>
  </si>
  <si>
    <t xml:space="preserve">E</t>
  </si>
  <si>
    <t xml:space="preserve">VIOLATED, -14pp</t>
  </si>
  <si>
    <t xml:space="preserve">C</t>
  </si>
  <si>
    <t xml:space="preserve">VIOLATED, -10pp (year-by-year splits held in the internal register)</t>
  </si>
  <si>
    <t xml:space="preserve">A</t>
  </si>
  <si>
    <t xml:space="preserve">n/d (no SI split published)</t>
  </si>
  <si>
    <t xml:space="preserve">-</t>
  </si>
  <si>
    <t xml:space="preserve">Published split in the one office reporting it: cancer, cardiac and stroke 89 per cent of SI claims by count, an indication in the same direction as the formal floors, not a bound (the cardiac category includes tail headings).</t>
  </si>
  <si>
    <t xml:space="preserve">R4 BOTH-SIDED TIES: with undecidables resolved FOR office E (HA 1, Stroke 1, MS 1, Cancer 2, KF 3): E head EUR 17,886, FV 0.993; base (ties against): EUR 6,047 / 0.335. The bottom placement is conditional on the tie convention.</t>
  </si>
  <si>
    <t xml:space="preserve">R8 SENSITIVITY: office C with breast in-situ coded Partial at the EUR15,000 cap (bottom rank): head EUR 15,087 (base 15,079), FV 0.7762 (base 0.7758), corrected floor 6.22% (base 6.27%). C's figures rest on the unresolved combined-heading scope; the sensitivity brackets it.</t>
  </si>
  <si>
    <t xml:space="preserve">MWP-2026-05 §9.1 (erratum v1.1.0) — FV male age 35, by discount rate (captured from the system of record, restoration verified)</t>
  </si>
  <si>
    <t xml:space="preserve">r = 2%</t>
  </si>
  <si>
    <t xml:space="preserve">Base (3%)</t>
  </si>
  <si>
    <t xml:space="preserve">r = 4%</t>
  </si>
  <si>
    <t xml:space="preserve">MWP-2026-05 §9.2 (erratum v1.1.0) — FV male age 35, acute-stroke calibration (0.794) vs raw factor (1.0)</t>
  </si>
  <si>
    <t xml:space="preserve">Calibrated (base)</t>
  </si>
  <si>
    <t xml:space="preserve">Raw factor</t>
  </si>
  <si>
    <t xml:space="preserve">Corrections_05 - cell-level log of the MWP-2026-05 base-input correction (erratum E-20/E-25). Workbook v3.0.0. Old values are the v1.2.2 values.</t>
  </si>
  <si>
    <t xml:space="preserve">Basis: Office D's published terms take precedence over the v1.2 matrix (author decision, 2026-09-08). Partial-payment benefit fraction follows the -05 convention (Benefit_b tier lookup, 0.50); contractual caps are applied in the -06 layer under D11.</t>
  </si>
  <si>
    <t xml:space="preserve">Sheet</t>
  </si>
  <si>
    <t xml:space="preserve">Cell</t>
  </si>
  <si>
    <t xml:space="preserve">Field</t>
  </si>
  <si>
    <t xml:space="preserve">Old value</t>
  </si>
  <si>
    <t xml:space="preserve">New value</t>
  </si>
  <si>
    <t xml:space="preserve">Basis / source</t>
  </si>
  <si>
    <t xml:space="preserve">Erratum ID</t>
  </si>
  <si>
    <t xml:space="preserve">H8</t>
  </si>
  <si>
    <t xml:space="preserve">S25 s.3/4.8: additional payment EUR 15,000 or 50%; S22 list</t>
  </si>
  <si>
    <t xml:space="preserve">E-20</t>
  </si>
  <si>
    <t xml:space="preserve">H12</t>
  </si>
  <si>
    <t xml:space="preserve">H16</t>
  </si>
  <si>
    <t xml:space="preserve">H17</t>
  </si>
  <si>
    <t xml:space="preserve">H18</t>
  </si>
  <si>
    <t xml:space="preserve">H19</t>
  </si>
  <si>
    <t xml:space="preserve">H25</t>
  </si>
  <si>
    <t xml:space="preserve">H28</t>
  </si>
  <si>
    <t xml:space="preserve">H33</t>
  </si>
  <si>
    <t xml:space="preserve">H34</t>
  </si>
  <si>
    <t xml:space="preserve">H54</t>
  </si>
  <si>
    <t xml:space="preserve">H58</t>
  </si>
  <si>
    <t xml:space="preserve">H77</t>
  </si>
  <si>
    <t xml:space="preserve">H82</t>
  </si>
  <si>
    <t xml:space="preserve">H86</t>
  </si>
  <si>
    <t xml:space="preserve">H91</t>
  </si>
  <si>
    <t xml:space="preserve">H110</t>
  </si>
  <si>
    <t xml:space="preserve">H112</t>
  </si>
  <si>
    <t xml:space="preserve">H113</t>
  </si>
  <si>
    <t xml:space="preserve">H126</t>
  </si>
  <si>
    <t xml:space="preserve">H130</t>
  </si>
  <si>
    <t xml:space="preserve">H131</t>
  </si>
  <si>
    <t xml:space="preserve">H136</t>
  </si>
  <si>
    <t xml:space="preserve">H37</t>
  </si>
  <si>
    <t xml:space="preserve">S25 s.4.8 / S22: additional-payment condition (EUR 15,000 or 50%)</t>
  </si>
  <si>
    <t xml:space="preserve">G37</t>
  </si>
  <si>
    <t xml:space="preserve">Office D rank (PROVISIONAL, last among coverers)</t>
  </si>
  <si>
    <t xml:space="preserve">Interim placement; D4 retired - protected by the D13 any-ranking envelopes (paper §4.2-4.3) and disclosed</t>
  </si>
  <si>
    <t xml:space="preserve">E-25</t>
  </si>
  <si>
    <t xml:space="preserve">H89</t>
  </si>
  <si>
    <t xml:space="preserve">G89</t>
  </si>
  <si>
    <t xml:space="preserve">H92</t>
  </si>
  <si>
    <t xml:space="preserve">G92</t>
  </si>
  <si>
    <t xml:space="preserve">H93</t>
  </si>
  <si>
    <t xml:space="preserve">G93</t>
  </si>
  <si>
    <t xml:space="preserve">H95</t>
  </si>
  <si>
    <t xml:space="preserve">G95</t>
  </si>
  <si>
    <t xml:space="preserve">H96</t>
  </si>
  <si>
    <t xml:space="preserve">G96</t>
  </si>
  <si>
    <t xml:space="preserve">H97</t>
  </si>
  <si>
    <t xml:space="preserve">G97</t>
  </si>
  <si>
    <t xml:space="preserve">H98</t>
  </si>
  <si>
    <t xml:space="preserve">G98</t>
  </si>
  <si>
    <t xml:space="preserve">H99</t>
  </si>
  <si>
    <t xml:space="preserve">G99</t>
  </si>
  <si>
    <t xml:space="preserve">H101</t>
  </si>
  <si>
    <t xml:space="preserve">G101</t>
  </si>
  <si>
    <t xml:space="preserve">H103</t>
  </si>
  <si>
    <t xml:space="preserve">G103</t>
  </si>
  <si>
    <t xml:space="preserve">H105</t>
  </si>
  <si>
    <t xml:space="preserve">G105</t>
  </si>
  <si>
    <t xml:space="preserve">H106</t>
  </si>
  <si>
    <t xml:space="preserve">G106</t>
  </si>
  <si>
    <t xml:space="preserve">H107</t>
  </si>
  <si>
    <t xml:space="preserve">G107</t>
  </si>
  <si>
    <t xml:space="preserve">H108</t>
  </si>
  <si>
    <t xml:space="preserve">G108</t>
  </si>
  <si>
    <t xml:space="preserve">H13</t>
  </si>
  <si>
    <t xml:space="preserve">S25 s.4.7 #21: heart-valve full definition 'including balloon valvuloplasty'</t>
  </si>
  <si>
    <t xml:space="preserve">G13</t>
  </si>
  <si>
    <t xml:space="preserve">Cells changed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</si>
</sst>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0.00"/>
    <numFmt numFmtId="166" formatCode="0%"/>
    <numFmt numFmtId="167" formatCode="#,##0.00"/>
    <numFmt numFmtId="168" formatCode="#,##0"/>
    <numFmt numFmtId="169" formatCode="0"/>
    <numFmt numFmtId="170" formatCode="0.0%"/>
    <numFmt numFmtId="171" formatCode="0.0"/>
    <numFmt numFmtId="172" formatCode="0.000"/>
    <numFmt numFmtId="173" formatCode="0.0000"/>
    <numFmt numFmtId="174" formatCode="\€#,##0.00"/>
    <numFmt numFmtId="175" formatCode="0.000000"/>
    <numFmt numFmtId="176" formatCode="\€#,##0"/>
    <numFmt numFmtId="177" formatCode="\€0.00"/>
    <numFmt numFmtId="178" formatCode="General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B2E59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C2185B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1"/>
      <color rgb="FF0B2E59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color rgb="FF0B2E59"/>
      <name val="Arial"/>
      <family val="0"/>
      <charset val="1"/>
    </font>
    <font>
      <b val="true"/>
      <sz val="10"/>
      <color rgb="FF9C6500"/>
      <name val="Arial"/>
      <family val="0"/>
      <charset val="1"/>
    </font>
    <font>
      <i val="true"/>
      <sz val="8"/>
      <name val="Arial"/>
      <family val="0"/>
      <charset val="1"/>
    </font>
    <font>
      <sz val="9"/>
      <name val="Arial"/>
      <family val="0"/>
      <charset val="1"/>
    </font>
    <font>
      <b val="true"/>
      <sz val="8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8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C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2E59"/>
        <bgColor rgb="FF1F3864"/>
      </patternFill>
    </fill>
    <fill>
      <patternFill patternType="solid">
        <fgColor rgb="FFFCE4EC"/>
        <bgColor rgb="FFFFF2CC"/>
      </patternFill>
    </fill>
    <fill>
      <patternFill patternType="solid">
        <fgColor rgb="FFFFF2CC"/>
        <bgColor rgb="FFFCE4EC"/>
      </patternFill>
    </fill>
    <fill>
      <patternFill patternType="solid">
        <fgColor rgb="FF1F3864"/>
        <bgColor rgb="FF0B2E5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8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8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2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5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18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7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8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9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2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B2E5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CE4EC"/>
          <bgColor rgb="FF000000"/>
        </patternFill>
      </fill>
    </dxf>
    <dxf>
      <fill>
        <patternFill patternType="solid">
          <fgColor rgb="FFC2185B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0C0C0"/>
      <rgbColor rgb="FF808080"/>
      <rgbColor rgb="FF9999FF"/>
      <rgbColor rgb="FFC2185B"/>
      <rgbColor rgb="FFFFF2CC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C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B2E59"/>
      <rgbColor rgb="FF339966"/>
      <rgbColor rgb="FF003300"/>
      <rgbColor rgb="FF333300"/>
      <rgbColor rgb="FF993300"/>
      <rgbColor rgb="FF993366"/>
      <rgbColor rgb="FF333399"/>
      <rgbColor rgb="FF1F386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6"/>
    <col collapsed="false" customWidth="true" hidden="false" outlineLevel="0" max="3" min="3" style="1" width="88"/>
  </cols>
  <sheetData>
    <row r="2" customFormat="false" ht="33.75" hidden="false" customHeight="true" outlineLevel="0" collapsed="false">
      <c r="B2" s="2" t="s">
        <v>0</v>
      </c>
    </row>
    <row r="3" customFormat="false" ht="32.25" hidden="false" customHeight="true" outlineLevel="0" collapsed="false">
      <c r="B3" s="3" t="s">
        <v>1</v>
      </c>
      <c r="C3" s="1" t="s">
        <v>2</v>
      </c>
    </row>
    <row r="5" customFormat="false" ht="15" hidden="false" customHeight="true" outlineLevel="0" collapsed="false">
      <c r="B5" s="4" t="s">
        <v>3</v>
      </c>
      <c r="C5" s="5" t="s">
        <v>4</v>
      </c>
    </row>
    <row r="6" customFormat="false" ht="15" hidden="false" customHeight="true" outlineLevel="0" collapsed="false">
      <c r="B6" s="4" t="s">
        <v>5</v>
      </c>
      <c r="C6" s="5" t="s">
        <v>6</v>
      </c>
    </row>
    <row r="7" customFormat="false" ht="15" hidden="false" customHeight="true" outlineLevel="0" collapsed="false">
      <c r="B7" s="4" t="s">
        <v>7</v>
      </c>
      <c r="C7" s="5" t="s">
        <v>8</v>
      </c>
    </row>
    <row r="8" customFormat="false" ht="23.25" hidden="false" customHeight="true" outlineLevel="0" collapsed="false">
      <c r="B8" s="4" t="s">
        <v>9</v>
      </c>
      <c r="C8" s="5" t="s">
        <v>10</v>
      </c>
    </row>
    <row r="9" customFormat="false" ht="15" hidden="false" customHeight="true" outlineLevel="0" collapsed="false">
      <c r="B9" s="4" t="s">
        <v>11</v>
      </c>
      <c r="C9" s="5" t="s">
        <v>12</v>
      </c>
    </row>
    <row r="11" customFormat="false" ht="15" hidden="false" customHeight="true" outlineLevel="0" collapsed="false">
      <c r="B11" s="4" t="s">
        <v>13</v>
      </c>
    </row>
    <row r="12" customFormat="false" ht="34.5" hidden="false" customHeight="true" outlineLevel="0" collapsed="false">
      <c r="B12" s="4" t="s">
        <v>14</v>
      </c>
      <c r="C12" s="5" t="s">
        <v>15</v>
      </c>
    </row>
    <row r="13" customFormat="false" ht="34.5" hidden="false" customHeight="true" outlineLevel="0" collapsed="false">
      <c r="B13" s="4" t="s">
        <v>16</v>
      </c>
      <c r="C13" s="5" t="s">
        <v>17</v>
      </c>
    </row>
    <row r="14" customFormat="false" ht="45.75" hidden="false" customHeight="true" outlineLevel="0" collapsed="false">
      <c r="B14" s="6" t="s">
        <v>18</v>
      </c>
      <c r="C14" s="7" t="s">
        <v>19</v>
      </c>
    </row>
    <row r="15" customFormat="false" ht="23.25" hidden="false" customHeight="true" outlineLevel="0" collapsed="false">
      <c r="B15" s="6" t="s">
        <v>20</v>
      </c>
      <c r="C15" s="7" t="s">
        <v>21</v>
      </c>
    </row>
    <row r="16" customFormat="false" ht="34.5" hidden="false" customHeight="true" outlineLevel="0" collapsed="false">
      <c r="B16" s="6" t="s">
        <v>22</v>
      </c>
      <c r="C16" s="7" t="s">
        <v>23</v>
      </c>
    </row>
    <row r="17" customFormat="false" ht="15" hidden="false" customHeight="true" outlineLevel="0" collapsed="false">
      <c r="B17" s="6" t="s">
        <v>24</v>
      </c>
      <c r="C17" s="7" t="s">
        <v>25</v>
      </c>
    </row>
    <row r="18" customFormat="false" ht="15" hidden="false" customHeight="true" outlineLevel="0" collapsed="false">
      <c r="B18" s="6" t="s">
        <v>26</v>
      </c>
      <c r="C18" s="7" t="s">
        <v>27</v>
      </c>
    </row>
    <row r="19" customFormat="false" ht="15" hidden="false" customHeight="true" outlineLevel="0" collapsed="false">
      <c r="B19" s="6" t="s">
        <v>28</v>
      </c>
      <c r="C19" s="7" t="s">
        <v>29</v>
      </c>
    </row>
    <row r="20" customFormat="false" ht="34.5" hidden="false" customHeight="true" outlineLevel="0" collapsed="false">
      <c r="B20" s="6" t="s">
        <v>30</v>
      </c>
      <c r="C20" s="7" t="s">
        <v>31</v>
      </c>
    </row>
    <row r="21" customFormat="false" ht="15" hidden="false" customHeight="true" outlineLevel="0" collapsed="false">
      <c r="B21" s="6" t="s">
        <v>32</v>
      </c>
      <c r="C21" s="7" t="s">
        <v>33</v>
      </c>
    </row>
    <row r="22" customFormat="false" ht="15" hidden="false" customHeight="true" outlineLevel="0" collapsed="false">
      <c r="B22" s="6" t="s">
        <v>34</v>
      </c>
      <c r="C22" s="7" t="s">
        <v>35</v>
      </c>
    </row>
    <row r="23" customFormat="false" ht="23.25" hidden="false" customHeight="true" outlineLevel="0" collapsed="false">
      <c r="B23" s="6" t="s">
        <v>36</v>
      </c>
      <c r="C23" s="7" t="s">
        <v>37</v>
      </c>
    </row>
    <row r="24" customFormat="false" ht="23.25" hidden="false" customHeight="true" outlineLevel="0" collapsed="false">
      <c r="B24" s="6" t="s">
        <v>38</v>
      </c>
      <c r="C24" s="7" t="s">
        <v>39</v>
      </c>
    </row>
    <row r="25" customFormat="false" ht="34.5" hidden="false" customHeight="true" outlineLevel="0" collapsed="false">
      <c r="B25" s="6" t="s">
        <v>40</v>
      </c>
      <c r="C25" s="7" t="s">
        <v>41</v>
      </c>
    </row>
    <row r="26" customFormat="false" ht="23.25" hidden="false" customHeight="true" outlineLevel="0" collapsed="false">
      <c r="B26" s="6" t="s">
        <v>42</v>
      </c>
      <c r="C26" s="7" t="s">
        <v>43</v>
      </c>
    </row>
    <row r="27" customFormat="false" ht="23.25" hidden="false" customHeight="true" outlineLevel="0" collapsed="false">
      <c r="B27" s="6" t="s">
        <v>40</v>
      </c>
      <c r="C27" s="7" t="s">
        <v>44</v>
      </c>
    </row>
    <row r="29" customFormat="false" ht="15" hidden="false" customHeight="true" outlineLevel="0" collapsed="false">
      <c r="A29" s="1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15"/>
  </cols>
  <sheetData>
    <row r="1" customFormat="false" ht="17.25" hidden="false" customHeight="true" outlineLevel="0" collapsed="false">
      <c r="B1" s="8"/>
    </row>
    <row r="2" customFormat="false" ht="15" hidden="false" customHeight="true" outlineLevel="0" collapsed="false">
      <c r="B2" s="1" t="s">
        <v>46</v>
      </c>
    </row>
    <row r="3" customFormat="false" ht="19.5" hidden="false" customHeight="true" outlineLevel="0" collapsed="false">
      <c r="B3" s="9" t="s">
        <v>47</v>
      </c>
    </row>
    <row r="4" customFormat="false" ht="13.5" hidden="false" customHeight="true" outlineLevel="0" collapsed="false">
      <c r="B4" s="10" t="s">
        <v>48</v>
      </c>
    </row>
    <row r="5" customFormat="false" ht="19.5" hidden="false" customHeight="true" outlineLevel="0" collapsed="false">
      <c r="B5" s="9" t="s">
        <v>49</v>
      </c>
    </row>
    <row r="6" customFormat="false" ht="13.5" hidden="false" customHeight="true" outlineLevel="0" collapsed="false">
      <c r="B6" s="10" t="s">
        <v>50</v>
      </c>
    </row>
    <row r="7" customFormat="false" ht="13.5" hidden="false" customHeight="true" outlineLevel="0" collapsed="false">
      <c r="B7" s="10" t="s">
        <v>51</v>
      </c>
    </row>
    <row r="8" customFormat="false" ht="13.5" hidden="false" customHeight="true" outlineLevel="0" collapsed="false">
      <c r="B8" s="10" t="s">
        <v>52</v>
      </c>
    </row>
    <row r="9" customFormat="false" ht="19.5" hidden="false" customHeight="true" outlineLevel="0" collapsed="false">
      <c r="B9" s="9"/>
    </row>
    <row r="10" customFormat="false" ht="13.5" hidden="false" customHeight="true" outlineLevel="0" collapsed="false">
      <c r="B10" s="10"/>
    </row>
    <row r="11" customFormat="false" ht="19.5" hidden="false" customHeight="true" outlineLevel="0" collapsed="false">
      <c r="B11" s="9"/>
    </row>
    <row r="12" customFormat="false" ht="13.5" hidden="false" customHeight="true" outlineLevel="0" collapsed="false">
      <c r="B12" s="10"/>
    </row>
    <row r="13" customFormat="false" ht="19.5" hidden="false" customHeight="true" outlineLevel="0" collapsed="false">
      <c r="B13" s="9"/>
    </row>
    <row r="14" customFormat="false" ht="13.5" hidden="false" customHeight="true" outlineLevel="0" collapsed="false">
      <c r="B14" s="10"/>
    </row>
    <row r="15" customFormat="false" ht="19.5" hidden="false" customHeight="true" outlineLevel="0" collapsed="false">
      <c r="B15" s="9"/>
    </row>
    <row r="16" customFormat="false" ht="13.5" hidden="false" customHeight="true" outlineLevel="0" collapsed="false">
      <c r="B16" s="10"/>
    </row>
    <row r="18" customFormat="false" ht="15" hidden="false" customHeight="true" outlineLevel="0" collapsed="false"/>
    <row r="19" customFormat="false" ht="15" hidden="false" customHeight="true" outlineLevel="0" collapsed="false"/>
    <row r="20" customFormat="false" ht="15" hidden="false" customHeight="true" outlineLevel="0" collapsed="false"/>
    <row r="21" customFormat="false" ht="15" hidden="false" customHeight="true" outlineLevel="0" collapsed="false"/>
    <row r="22" customFormat="false" ht="15" hidden="false" customHeight="true" outlineLevel="0" collapsed="false"/>
    <row r="23" customFormat="false" ht="15" hidden="false" customHeight="true" outlineLevel="0" collapsed="false"/>
    <row r="24" customFormat="false" ht="15" hidden="false" customHeight="true" outlineLevel="0" collapsed="false"/>
    <row r="25" customFormat="false" ht="15" hidden="false" customHeight="true" outlineLevel="0" collapsed="false"/>
    <row r="26" customFormat="false" ht="15" hidden="false" customHeight="true" outlineLevel="0" collapsed="false"/>
    <row r="27" customFormat="false" ht="15" hidden="false" customHeight="true" outlineLevel="0" collapsed="false"/>
    <row r="28" customFormat="false" ht="15" hidden="false" customHeight="true" outlineLevel="0" collapsed="false"/>
    <row r="29" customFormat="false" ht="15" hidden="false" customHeight="true" outlineLevel="0" collapsed="false"/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/>
    <row r="39" customFormat="false" ht="15" hidden="false" customHeight="true" outlineLevel="0" collapsed="false"/>
    <row r="40" customFormat="false" ht="15" hidden="false" customHeight="true" outlineLevel="0" collapsed="false"/>
    <row r="41" customFormat="false" ht="15" hidden="false" customHeight="true" outlineLevel="0" collapsed="false"/>
    <row r="42" customFormat="false" ht="15" hidden="false" customHeight="true" outlineLevel="0" collapsed="false"/>
    <row r="43" customFormat="false" ht="15" hidden="false" customHeight="true" outlineLevel="0" collapsed="false"/>
    <row r="44" customFormat="false" ht="15" hidden="false" customHeight="true" outlineLevel="0" collapsed="false"/>
    <row r="45" customFormat="false" ht="15" hidden="false" customHeight="true" outlineLevel="0" collapsed="false"/>
    <row r="46" customFormat="false" ht="15" hidden="false" customHeight="true" outlineLevel="0" collapsed="false"/>
    <row r="47" customFormat="false" ht="15" hidden="false" customHeight="true" outlineLevel="0" collapsed="false"/>
    <row r="48" customFormat="false" ht="15" hidden="false" customHeight="true" outlineLevel="0" collapsed="false"/>
    <row r="49" customFormat="false" ht="15" hidden="false" customHeight="true" outlineLevel="0" collapsed="false"/>
    <row r="50" customFormat="false" ht="15" hidden="false" customHeight="true" outlineLevel="0" collapsed="false"/>
    <row r="51" customFormat="false" ht="15" hidden="false" customHeight="true" outlineLevel="0" collapsed="false"/>
    <row r="52" customFormat="false" ht="15" hidden="false" customHeight="true" outlineLevel="0" collapsed="false"/>
    <row r="53" customFormat="false" ht="15" hidden="false" customHeight="true" outlineLevel="0" collapsed="false"/>
    <row r="54" customFormat="false" ht="15" hidden="false" customHeight="true" outlineLevel="0" collapsed="false"/>
    <row r="55" customFormat="false" ht="15" hidden="false" customHeight="true" outlineLevel="0" collapsed="false"/>
    <row r="56" customFormat="false" ht="15" hidden="false" customHeight="true" outlineLevel="0" collapsed="false"/>
    <row r="57" customFormat="false" ht="15" hidden="false" customHeight="true" outlineLevel="0" collapsed="false"/>
    <row r="58" customFormat="false" ht="15" hidden="false" customHeight="true" outlineLevel="0" collapsed="false"/>
    <row r="59" customFormat="false" ht="15" hidden="false" customHeight="true" outlineLevel="0" collapsed="false"/>
    <row r="60" customFormat="false" ht="15" hidden="false" customHeight="true" outlineLevel="0" collapsed="false"/>
    <row r="61" customFormat="false" ht="15" hidden="false" customHeight="true" outlineLevel="0" collapsed="false"/>
    <row r="62" customFormat="false" ht="15" hidden="false" customHeight="true" outlineLevel="0" collapsed="false"/>
    <row r="63" customFormat="false" ht="15" hidden="false" customHeight="true" outlineLevel="0" collapsed="false"/>
    <row r="64" customFormat="false" ht="15" hidden="false" customHeight="true" outlineLevel="0" collapsed="false"/>
    <row r="65" customFormat="false" ht="15" hidden="false" customHeight="true" outlineLevel="0" collapsed="false"/>
    <row r="66" customFormat="false" ht="15" hidden="false" customHeight="true" outlineLevel="0" collapsed="false"/>
    <row r="67" customFormat="false" ht="15" hidden="false" customHeight="true" outlineLevel="0" collapsed="false"/>
    <row r="68" customFormat="false" ht="15" hidden="false" customHeight="true" outlineLevel="0" collapsed="false"/>
    <row r="69" customFormat="false" ht="15" hidden="false" customHeight="true" outlineLevel="0" collapsed="false"/>
    <row r="70" customFormat="false" ht="15" hidden="false" customHeight="true" outlineLevel="0" collapsed="false"/>
    <row r="71" customFormat="false" ht="15" hidden="false" customHeight="true" outlineLevel="0" collapsed="false"/>
    <row r="72" customFormat="false" ht="15" hidden="false" customHeight="true" outlineLevel="0" collapsed="false"/>
    <row r="73" customFormat="false" ht="15" hidden="false" customHeight="true" outlineLevel="0" collapsed="false"/>
    <row r="74" customFormat="false" ht="15" hidden="false" customHeight="true" outlineLevel="0" collapsed="false"/>
    <row r="75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46"/>
    <col collapsed="false" customWidth="true" hidden="false" outlineLevel="0" max="3" min="3" style="1" width="26"/>
    <col collapsed="false" customWidth="true" hidden="false" outlineLevel="0" max="4" min="4" style="1" width="14"/>
    <col collapsed="false" customWidth="true" hidden="false" outlineLevel="0" max="5" min="5" style="1" width="7"/>
    <col collapsed="false" customWidth="true" hidden="false" outlineLevel="0" max="6" min="6" style="1" width="12"/>
    <col collapsed="false" customWidth="true" hidden="false" outlineLevel="0" max="7" min="7" style="1" width="8"/>
    <col collapsed="false" customWidth="true" hidden="false" outlineLevel="0" max="8" min="8" style="1" width="12"/>
    <col collapsed="false" customWidth="true" hidden="false" outlineLevel="0" max="9" min="9" style="1" width="9"/>
    <col collapsed="false" customWidth="true" hidden="false" outlineLevel="0" max="10" min="10" style="1" width="13"/>
    <col collapsed="false" customWidth="true" hidden="false" outlineLevel="0" max="12" min="11" style="1" width="9"/>
    <col collapsed="false" customWidth="true" hidden="false" outlineLevel="0" max="13" min="13" style="1" width="13"/>
    <col collapsed="false" customWidth="true" hidden="false" outlineLevel="0" max="14" min="14" style="1" width="7"/>
    <col collapsed="false" customWidth="true" hidden="false" outlineLevel="0" max="15" min="15" style="1" width="12"/>
  </cols>
  <sheetData>
    <row r="1" customFormat="false" ht="15" hidden="false" customHeight="true" outlineLevel="0" collapsed="false">
      <c r="A1" s="11" t="s">
        <v>53</v>
      </c>
      <c r="B1" s="11" t="s">
        <v>54</v>
      </c>
      <c r="C1" s="11" t="s">
        <v>55</v>
      </c>
      <c r="D1" s="11" t="s">
        <v>56</v>
      </c>
      <c r="E1" s="11" t="s">
        <v>57</v>
      </c>
      <c r="F1" s="11" t="s">
        <v>58</v>
      </c>
      <c r="G1" s="11" t="s">
        <v>59</v>
      </c>
      <c r="H1" s="11" t="s">
        <v>60</v>
      </c>
      <c r="I1" s="11" t="s">
        <v>61</v>
      </c>
      <c r="J1" s="11" t="s">
        <v>62</v>
      </c>
      <c r="K1" s="11" t="s">
        <v>63</v>
      </c>
      <c r="L1" s="11" t="s">
        <v>64</v>
      </c>
      <c r="M1" s="11" t="s">
        <v>65</v>
      </c>
      <c r="N1" s="11" t="s">
        <v>66</v>
      </c>
      <c r="O1" s="11" t="s">
        <v>67</v>
      </c>
      <c r="P1" s="1" t="s">
        <v>68</v>
      </c>
    </row>
    <row r="2" customFormat="false" ht="23.25" hidden="false" customHeight="true" outlineLevel="0" collapsed="false">
      <c r="A2" s="12" t="n">
        <v>1</v>
      </c>
      <c r="B2" s="13" t="s">
        <v>69</v>
      </c>
      <c r="C2" s="13" t="s">
        <v>70</v>
      </c>
      <c r="D2" s="13" t="s">
        <v>71</v>
      </c>
      <c r="E2" s="12" t="n">
        <v>3</v>
      </c>
      <c r="F2" s="13" t="s">
        <v>72</v>
      </c>
      <c r="G2" s="12" t="n">
        <v>1</v>
      </c>
      <c r="H2" s="13" t="s">
        <v>70</v>
      </c>
      <c r="I2" s="12" t="n">
        <v>5</v>
      </c>
      <c r="J2" s="13" t="s">
        <v>72</v>
      </c>
      <c r="K2" s="12"/>
      <c r="L2" s="12" t="n">
        <v>2</v>
      </c>
      <c r="M2" s="13" t="s">
        <v>72</v>
      </c>
      <c r="N2" s="12" t="n">
        <v>4</v>
      </c>
      <c r="O2" s="13" t="s">
        <v>72</v>
      </c>
    </row>
    <row r="3" customFormat="false" ht="15" hidden="false" customHeight="true" outlineLevel="0" collapsed="false">
      <c r="A3" s="12" t="n">
        <v>2</v>
      </c>
      <c r="B3" s="13" t="s">
        <v>73</v>
      </c>
      <c r="C3" s="13" t="s">
        <v>70</v>
      </c>
      <c r="D3" s="13" t="s">
        <v>74</v>
      </c>
      <c r="E3" s="12" t="n">
        <v>3</v>
      </c>
      <c r="F3" s="13" t="s">
        <v>72</v>
      </c>
      <c r="G3" s="12" t="n">
        <v>4</v>
      </c>
      <c r="H3" s="13" t="s">
        <v>72</v>
      </c>
      <c r="I3" s="12" t="n">
        <v>5</v>
      </c>
      <c r="J3" s="13" t="s">
        <v>72</v>
      </c>
      <c r="K3" s="12"/>
      <c r="L3" s="12" t="n">
        <v>2</v>
      </c>
      <c r="M3" s="13" t="s">
        <v>72</v>
      </c>
      <c r="N3" s="12" t="n">
        <v>1</v>
      </c>
      <c r="O3" s="13" t="s">
        <v>70</v>
      </c>
    </row>
    <row r="4" customFormat="false" ht="23.25" hidden="false" customHeight="true" outlineLevel="0" collapsed="false">
      <c r="A4" s="12" t="n">
        <v>3</v>
      </c>
      <c r="B4" s="13" t="s">
        <v>75</v>
      </c>
      <c r="C4" s="13" t="s">
        <v>76</v>
      </c>
      <c r="D4" s="13" t="s">
        <v>71</v>
      </c>
      <c r="E4" s="12" t="n">
        <v>3</v>
      </c>
      <c r="F4" s="13" t="s">
        <v>72</v>
      </c>
      <c r="G4" s="12" t="n">
        <v>1</v>
      </c>
      <c r="H4" s="13" t="s">
        <v>70</v>
      </c>
      <c r="I4" s="12" t="n">
        <v>5</v>
      </c>
      <c r="J4" s="13" t="s">
        <v>72</v>
      </c>
      <c r="K4" s="12"/>
      <c r="L4" s="12" t="n">
        <v>2</v>
      </c>
      <c r="M4" s="13" t="s">
        <v>72</v>
      </c>
      <c r="N4" s="12" t="n">
        <v>4</v>
      </c>
      <c r="O4" s="13" t="s">
        <v>72</v>
      </c>
    </row>
    <row r="5" customFormat="false" ht="15" hidden="false" customHeight="true" outlineLevel="0" collapsed="false">
      <c r="A5" s="12" t="n">
        <v>4</v>
      </c>
      <c r="B5" s="13" t="s">
        <v>77</v>
      </c>
      <c r="C5" s="13" t="s">
        <v>76</v>
      </c>
      <c r="D5" s="13" t="s">
        <v>78</v>
      </c>
      <c r="E5" s="12" t="n">
        <v>1</v>
      </c>
      <c r="F5" s="13" t="s">
        <v>70</v>
      </c>
      <c r="G5" s="12" t="n">
        <v>3</v>
      </c>
      <c r="H5" s="13" t="s">
        <v>70</v>
      </c>
      <c r="I5" s="12" t="n">
        <v>5</v>
      </c>
      <c r="J5" s="13" t="s">
        <v>72</v>
      </c>
      <c r="K5" s="12"/>
      <c r="L5" s="12" t="n">
        <v>2</v>
      </c>
      <c r="M5" s="13" t="s">
        <v>70</v>
      </c>
      <c r="N5" s="12" t="n">
        <v>4</v>
      </c>
      <c r="O5" s="13" t="s">
        <v>70</v>
      </c>
    </row>
    <row r="6" customFormat="false" ht="15" hidden="false" customHeight="true" outlineLevel="0" collapsed="false">
      <c r="A6" s="12" t="n">
        <v>5</v>
      </c>
      <c r="B6" s="13" t="s">
        <v>79</v>
      </c>
      <c r="C6" s="13" t="s">
        <v>80</v>
      </c>
      <c r="D6" s="13" t="s">
        <v>81</v>
      </c>
      <c r="E6" s="12" t="n">
        <v>5</v>
      </c>
      <c r="F6" s="13" t="s">
        <v>72</v>
      </c>
      <c r="G6" s="12" t="n">
        <v>1</v>
      </c>
      <c r="H6" s="13" t="s">
        <v>70</v>
      </c>
      <c r="I6" s="14" t="n">
        <v>3</v>
      </c>
      <c r="J6" s="15" t="s">
        <v>70</v>
      </c>
      <c r="K6" s="14" t="s">
        <v>82</v>
      </c>
      <c r="L6" s="12" t="n">
        <v>4</v>
      </c>
      <c r="M6" s="13" t="s">
        <v>72</v>
      </c>
      <c r="N6" s="12" t="n">
        <v>2</v>
      </c>
      <c r="O6" s="13" t="s">
        <v>70</v>
      </c>
    </row>
    <row r="7" customFormat="false" ht="15" hidden="false" customHeight="true" outlineLevel="0" collapsed="false">
      <c r="A7" s="12" t="n">
        <v>6</v>
      </c>
      <c r="B7" s="13" t="s">
        <v>83</v>
      </c>
      <c r="C7" s="13" t="s">
        <v>84</v>
      </c>
      <c r="D7" s="13" t="s">
        <v>81</v>
      </c>
      <c r="E7" s="12" t="n">
        <v>3</v>
      </c>
      <c r="F7" s="13" t="s">
        <v>72</v>
      </c>
      <c r="G7" s="12" t="n">
        <v>1</v>
      </c>
      <c r="H7" s="13" t="s">
        <v>70</v>
      </c>
      <c r="I7" s="12" t="n">
        <v>5</v>
      </c>
      <c r="J7" s="13" t="s">
        <v>72</v>
      </c>
      <c r="K7" s="12"/>
      <c r="L7" s="12" t="n">
        <v>2</v>
      </c>
      <c r="M7" s="13" t="s">
        <v>72</v>
      </c>
      <c r="N7" s="12" t="n">
        <v>4</v>
      </c>
      <c r="O7" s="13" t="s">
        <v>72</v>
      </c>
    </row>
    <row r="8" customFormat="false" ht="15" hidden="false" customHeight="true" outlineLevel="0" collapsed="false">
      <c r="A8" s="12" t="n">
        <v>7</v>
      </c>
      <c r="B8" s="13" t="s">
        <v>85</v>
      </c>
      <c r="C8" s="13" t="s">
        <v>84</v>
      </c>
      <c r="D8" s="13" t="s">
        <v>81</v>
      </c>
      <c r="E8" s="12" t="n">
        <v>4</v>
      </c>
      <c r="F8" s="13" t="s">
        <v>86</v>
      </c>
      <c r="G8" s="12" t="n">
        <v>1</v>
      </c>
      <c r="H8" s="13" t="s">
        <v>86</v>
      </c>
      <c r="I8" s="14" t="n">
        <v>5</v>
      </c>
      <c r="J8" s="15" t="s">
        <v>86</v>
      </c>
      <c r="K8" s="14" t="s">
        <v>82</v>
      </c>
      <c r="L8" s="12" t="n">
        <v>3</v>
      </c>
      <c r="M8" s="13" t="s">
        <v>86</v>
      </c>
      <c r="N8" s="12" t="n">
        <v>2</v>
      </c>
      <c r="O8" s="13" t="s">
        <v>86</v>
      </c>
    </row>
    <row r="9" customFormat="false" ht="23.25" hidden="false" customHeight="true" outlineLevel="0" collapsed="false">
      <c r="A9" s="12" t="n">
        <v>8</v>
      </c>
      <c r="B9" s="13" t="s">
        <v>87</v>
      </c>
      <c r="C9" s="13" t="s">
        <v>88</v>
      </c>
      <c r="D9" s="13" t="s">
        <v>81</v>
      </c>
      <c r="E9" s="12" t="n">
        <v>1</v>
      </c>
      <c r="F9" s="13" t="s">
        <v>89</v>
      </c>
      <c r="G9" s="12" t="n">
        <v>3</v>
      </c>
      <c r="H9" s="13" t="s">
        <v>89</v>
      </c>
      <c r="I9" s="14" t="n">
        <v>5</v>
      </c>
      <c r="J9" s="15" t="s">
        <v>89</v>
      </c>
      <c r="K9" s="14" t="s">
        <v>82</v>
      </c>
      <c r="L9" s="12" t="n">
        <v>4</v>
      </c>
      <c r="M9" s="13" t="s">
        <v>89</v>
      </c>
      <c r="N9" s="12" t="n">
        <v>2</v>
      </c>
      <c r="O9" s="13" t="s">
        <v>89</v>
      </c>
    </row>
    <row r="10" customFormat="false" ht="15" hidden="false" customHeight="true" outlineLevel="0" collapsed="false">
      <c r="A10" s="12" t="n">
        <v>9</v>
      </c>
      <c r="B10" s="13" t="s">
        <v>90</v>
      </c>
      <c r="C10" s="13" t="s">
        <v>91</v>
      </c>
      <c r="D10" s="13" t="s">
        <v>81</v>
      </c>
      <c r="E10" s="12" t="n">
        <v>3</v>
      </c>
      <c r="F10" s="13" t="s">
        <v>72</v>
      </c>
      <c r="G10" s="12" t="n">
        <v>5</v>
      </c>
      <c r="H10" s="13" t="s">
        <v>72</v>
      </c>
      <c r="I10" s="14" t="n">
        <v>2</v>
      </c>
      <c r="J10" s="15" t="s">
        <v>72</v>
      </c>
      <c r="K10" s="14" t="s">
        <v>82</v>
      </c>
      <c r="L10" s="12" t="n">
        <v>1</v>
      </c>
      <c r="M10" s="13" t="s">
        <v>89</v>
      </c>
      <c r="N10" s="12" t="n">
        <v>4</v>
      </c>
      <c r="O10" s="13" t="s">
        <v>72</v>
      </c>
    </row>
    <row r="11" customFormat="false" ht="15" hidden="false" customHeight="true" outlineLevel="0" collapsed="false">
      <c r="A11" s="12" t="n">
        <v>10</v>
      </c>
      <c r="B11" s="13" t="s">
        <v>92</v>
      </c>
      <c r="C11" s="13" t="s">
        <v>93</v>
      </c>
      <c r="D11" s="13" t="s">
        <v>81</v>
      </c>
      <c r="E11" s="12" t="n">
        <v>3</v>
      </c>
      <c r="F11" s="13" t="s">
        <v>89</v>
      </c>
      <c r="G11" s="12" t="n">
        <v>1</v>
      </c>
      <c r="H11" s="13" t="s">
        <v>89</v>
      </c>
      <c r="I11" s="14" t="n">
        <v>5</v>
      </c>
      <c r="J11" s="15" t="s">
        <v>89</v>
      </c>
      <c r="K11" s="14" t="s">
        <v>82</v>
      </c>
      <c r="L11" s="12" t="n">
        <v>2</v>
      </c>
      <c r="M11" s="13" t="s">
        <v>89</v>
      </c>
      <c r="N11" s="12" t="n">
        <v>4</v>
      </c>
      <c r="O11" s="13" t="s">
        <v>89</v>
      </c>
    </row>
    <row r="12" customFormat="false" ht="15" hidden="false" customHeight="true" outlineLevel="0" collapsed="false">
      <c r="A12" s="12" t="n">
        <v>11</v>
      </c>
      <c r="B12" s="13" t="s">
        <v>94</v>
      </c>
      <c r="C12" s="13" t="s">
        <v>93</v>
      </c>
      <c r="D12" s="13" t="s">
        <v>81</v>
      </c>
      <c r="E12" s="12" t="n">
        <v>3</v>
      </c>
      <c r="F12" s="13" t="s">
        <v>86</v>
      </c>
      <c r="G12" s="12" t="n">
        <v>4</v>
      </c>
      <c r="H12" s="13" t="s">
        <v>86</v>
      </c>
      <c r="I12" s="12" t="n">
        <v>5</v>
      </c>
      <c r="J12" s="13" t="s">
        <v>86</v>
      </c>
      <c r="K12" s="12"/>
      <c r="L12" s="12" t="n">
        <v>2</v>
      </c>
      <c r="M12" s="13" t="s">
        <v>86</v>
      </c>
      <c r="N12" s="12" t="n">
        <v>1</v>
      </c>
      <c r="O12" s="13" t="s">
        <v>86</v>
      </c>
    </row>
    <row r="13" customFormat="false" ht="15" hidden="false" customHeight="true" outlineLevel="0" collapsed="false">
      <c r="A13" s="12" t="n">
        <v>12</v>
      </c>
      <c r="B13" s="13" t="s">
        <v>95</v>
      </c>
      <c r="C13" s="13" t="s">
        <v>93</v>
      </c>
      <c r="D13" s="13" t="s">
        <v>81</v>
      </c>
      <c r="E13" s="12" t="n">
        <v>1</v>
      </c>
      <c r="F13" s="13" t="s">
        <v>89</v>
      </c>
      <c r="G13" s="12" t="n">
        <v>5</v>
      </c>
      <c r="H13" s="13" t="s">
        <v>72</v>
      </c>
      <c r="I13" s="14" t="n">
        <v>4</v>
      </c>
      <c r="J13" s="15" t="s">
        <v>89</v>
      </c>
      <c r="K13" s="14" t="s">
        <v>82</v>
      </c>
      <c r="L13" s="12" t="n">
        <v>2</v>
      </c>
      <c r="M13" s="13" t="s">
        <v>89</v>
      </c>
      <c r="N13" s="12" t="n">
        <v>3</v>
      </c>
      <c r="O13" s="13" t="s">
        <v>89</v>
      </c>
      <c r="P13" s="1" t="s">
        <v>82</v>
      </c>
    </row>
    <row r="14" customFormat="false" ht="15" hidden="false" customHeight="true" outlineLevel="0" collapsed="false">
      <c r="A14" s="12" t="n">
        <v>13</v>
      </c>
      <c r="B14" s="13" t="s">
        <v>96</v>
      </c>
      <c r="C14" s="13" t="s">
        <v>93</v>
      </c>
      <c r="D14" s="13" t="s">
        <v>81</v>
      </c>
      <c r="E14" s="12" t="n">
        <v>4</v>
      </c>
      <c r="F14" s="13" t="s">
        <v>89</v>
      </c>
      <c r="G14" s="12" t="n">
        <v>1</v>
      </c>
      <c r="H14" s="13" t="s">
        <v>89</v>
      </c>
      <c r="I14" s="14" t="n">
        <v>5</v>
      </c>
      <c r="J14" s="15" t="s">
        <v>89</v>
      </c>
      <c r="K14" s="14" t="s">
        <v>82</v>
      </c>
      <c r="L14" s="12" t="n">
        <v>3</v>
      </c>
      <c r="M14" s="13" t="s">
        <v>89</v>
      </c>
      <c r="N14" s="12" t="n">
        <v>2</v>
      </c>
      <c r="O14" s="13" t="s">
        <v>89</v>
      </c>
    </row>
    <row r="15" customFormat="false" ht="15" hidden="false" customHeight="true" outlineLevel="0" collapsed="false">
      <c r="A15" s="12" t="n">
        <v>14</v>
      </c>
      <c r="B15" s="13" t="s">
        <v>97</v>
      </c>
      <c r="C15" s="13" t="s">
        <v>93</v>
      </c>
      <c r="D15" s="13" t="s">
        <v>81</v>
      </c>
      <c r="E15" s="12" t="n">
        <v>1</v>
      </c>
      <c r="F15" s="13" t="s">
        <v>89</v>
      </c>
      <c r="G15" s="12" t="n">
        <v>3</v>
      </c>
      <c r="H15" s="13" t="s">
        <v>89</v>
      </c>
      <c r="I15" s="14" t="n">
        <v>5</v>
      </c>
      <c r="J15" s="15" t="s">
        <v>89</v>
      </c>
      <c r="K15" s="14" t="s">
        <v>82</v>
      </c>
      <c r="L15" s="12" t="n">
        <v>4</v>
      </c>
      <c r="M15" s="13" t="s">
        <v>89</v>
      </c>
      <c r="N15" s="12" t="n">
        <v>2</v>
      </c>
      <c r="O15" s="13" t="s">
        <v>89</v>
      </c>
    </row>
    <row r="16" customFormat="false" ht="23.25" hidden="false" customHeight="true" outlineLevel="0" collapsed="false">
      <c r="A16" s="12" t="n">
        <v>15</v>
      </c>
      <c r="B16" s="13" t="s">
        <v>98</v>
      </c>
      <c r="C16" s="13" t="s">
        <v>93</v>
      </c>
      <c r="D16" s="13" t="s">
        <v>81</v>
      </c>
      <c r="E16" s="12" t="n">
        <v>3</v>
      </c>
      <c r="F16" s="13" t="s">
        <v>86</v>
      </c>
      <c r="G16" s="12" t="n">
        <v>4</v>
      </c>
      <c r="H16" s="13" t="s">
        <v>86</v>
      </c>
      <c r="I16" s="14" t="n">
        <v>5</v>
      </c>
      <c r="J16" s="15" t="s">
        <v>86</v>
      </c>
      <c r="K16" s="14" t="s">
        <v>82</v>
      </c>
      <c r="L16" s="12" t="n">
        <v>2</v>
      </c>
      <c r="M16" s="13" t="s">
        <v>86</v>
      </c>
      <c r="N16" s="12" t="n">
        <v>1</v>
      </c>
      <c r="O16" s="13" t="s">
        <v>86</v>
      </c>
    </row>
    <row r="17" customFormat="false" ht="15" hidden="false" customHeight="true" outlineLevel="0" collapsed="false">
      <c r="A17" s="12" t="n">
        <v>16</v>
      </c>
      <c r="B17" s="13" t="s">
        <v>99</v>
      </c>
      <c r="C17" s="13" t="s">
        <v>93</v>
      </c>
      <c r="D17" s="13" t="s">
        <v>100</v>
      </c>
      <c r="E17" s="12" t="n">
        <v>1</v>
      </c>
      <c r="F17" s="13" t="s">
        <v>86</v>
      </c>
      <c r="G17" s="12" t="n">
        <v>4</v>
      </c>
      <c r="H17" s="13" t="s">
        <v>86</v>
      </c>
      <c r="I17" s="14" t="n">
        <v>5</v>
      </c>
      <c r="J17" s="15" t="s">
        <v>86</v>
      </c>
      <c r="K17" s="14" t="s">
        <v>82</v>
      </c>
      <c r="L17" s="12" t="n">
        <v>2</v>
      </c>
      <c r="M17" s="13" t="s">
        <v>86</v>
      </c>
      <c r="N17" s="12" t="n">
        <v>3</v>
      </c>
      <c r="O17" s="13" t="s">
        <v>86</v>
      </c>
    </row>
    <row r="18" customFormat="false" ht="15" hidden="false" customHeight="true" outlineLevel="0" collapsed="false">
      <c r="A18" s="12" t="n">
        <v>17</v>
      </c>
      <c r="B18" s="13" t="s">
        <v>101</v>
      </c>
      <c r="C18" s="13" t="s">
        <v>93</v>
      </c>
      <c r="D18" s="13" t="s">
        <v>100</v>
      </c>
      <c r="E18" s="12" t="n">
        <v>1</v>
      </c>
      <c r="F18" s="13" t="s">
        <v>86</v>
      </c>
      <c r="G18" s="12" t="n">
        <v>4</v>
      </c>
      <c r="H18" s="13" t="s">
        <v>86</v>
      </c>
      <c r="I18" s="14" t="n">
        <v>5</v>
      </c>
      <c r="J18" s="15" t="s">
        <v>86</v>
      </c>
      <c r="K18" s="14" t="s">
        <v>82</v>
      </c>
      <c r="L18" s="12" t="n">
        <v>2</v>
      </c>
      <c r="M18" s="13" t="s">
        <v>86</v>
      </c>
      <c r="N18" s="12" t="n">
        <v>3</v>
      </c>
      <c r="O18" s="13" t="s">
        <v>86</v>
      </c>
    </row>
    <row r="19" customFormat="false" ht="15" hidden="false" customHeight="true" outlineLevel="0" collapsed="false">
      <c r="A19" s="12" t="n">
        <v>18</v>
      </c>
      <c r="B19" s="13" t="s">
        <v>102</v>
      </c>
      <c r="C19" s="13" t="s">
        <v>93</v>
      </c>
      <c r="D19" s="13" t="s">
        <v>100</v>
      </c>
      <c r="E19" s="12" t="n">
        <v>1</v>
      </c>
      <c r="F19" s="13" t="s">
        <v>86</v>
      </c>
      <c r="G19" s="12" t="n">
        <v>4</v>
      </c>
      <c r="H19" s="13" t="s">
        <v>86</v>
      </c>
      <c r="I19" s="14" t="n">
        <v>5</v>
      </c>
      <c r="J19" s="15" t="s">
        <v>86</v>
      </c>
      <c r="K19" s="14" t="s">
        <v>82</v>
      </c>
      <c r="L19" s="12" t="n">
        <v>2</v>
      </c>
      <c r="M19" s="13" t="s">
        <v>86</v>
      </c>
      <c r="N19" s="12" t="n">
        <v>3</v>
      </c>
      <c r="O19" s="13" t="s">
        <v>86</v>
      </c>
    </row>
    <row r="20" customFormat="false" ht="15" hidden="false" customHeight="true" outlineLevel="0" collapsed="false">
      <c r="A20" s="12" t="n">
        <v>19</v>
      </c>
      <c r="B20" s="13" t="s">
        <v>103</v>
      </c>
      <c r="C20" s="13" t="s">
        <v>93</v>
      </c>
      <c r="D20" s="13" t="s">
        <v>78</v>
      </c>
      <c r="E20" s="12" t="n">
        <v>2</v>
      </c>
      <c r="F20" s="13" t="s">
        <v>89</v>
      </c>
      <c r="G20" s="12" t="n">
        <v>3</v>
      </c>
      <c r="H20" s="13" t="s">
        <v>89</v>
      </c>
      <c r="I20" s="14" t="n">
        <v>5</v>
      </c>
      <c r="J20" s="15" t="s">
        <v>89</v>
      </c>
      <c r="K20" s="14" t="s">
        <v>82</v>
      </c>
      <c r="L20" s="12" t="n">
        <v>4</v>
      </c>
      <c r="M20" s="13" t="s">
        <v>89</v>
      </c>
      <c r="N20" s="12" t="n">
        <v>1</v>
      </c>
      <c r="O20" s="13" t="s">
        <v>89</v>
      </c>
    </row>
    <row r="21" customFormat="false" ht="15" hidden="false" customHeight="true" outlineLevel="0" collapsed="false">
      <c r="A21" s="12" t="n">
        <v>20</v>
      </c>
      <c r="B21" s="13" t="s">
        <v>104</v>
      </c>
      <c r="C21" s="13" t="s">
        <v>93</v>
      </c>
      <c r="D21" s="13" t="s">
        <v>100</v>
      </c>
      <c r="E21" s="12" t="n">
        <v>5</v>
      </c>
      <c r="F21" s="13" t="s">
        <v>89</v>
      </c>
      <c r="G21" s="12" t="n">
        <v>2</v>
      </c>
      <c r="H21" s="13" t="s">
        <v>89</v>
      </c>
      <c r="I21" s="14" t="n">
        <v>4</v>
      </c>
      <c r="J21" s="15" t="s">
        <v>89</v>
      </c>
      <c r="K21" s="14" t="s">
        <v>105</v>
      </c>
      <c r="L21" s="12" t="n">
        <v>3</v>
      </c>
      <c r="M21" s="13" t="s">
        <v>89</v>
      </c>
      <c r="N21" s="12" t="n">
        <v>1</v>
      </c>
      <c r="O21" s="13" t="s">
        <v>89</v>
      </c>
    </row>
    <row r="22" customFormat="false" ht="15" hidden="false" customHeight="true" outlineLevel="0" collapsed="false">
      <c r="A22" s="12" t="n">
        <v>21</v>
      </c>
      <c r="B22" s="13" t="s">
        <v>106</v>
      </c>
      <c r="C22" s="13" t="s">
        <v>93</v>
      </c>
      <c r="D22" s="13" t="s">
        <v>78</v>
      </c>
      <c r="E22" s="12" t="n">
        <v>2</v>
      </c>
      <c r="F22" s="13" t="s">
        <v>72</v>
      </c>
      <c r="G22" s="12" t="n">
        <v>4</v>
      </c>
      <c r="H22" s="13" t="s">
        <v>72</v>
      </c>
      <c r="I22" s="12" t="n">
        <v>5</v>
      </c>
      <c r="J22" s="13" t="s">
        <v>72</v>
      </c>
      <c r="K22" s="12"/>
      <c r="L22" s="12" t="n">
        <v>1</v>
      </c>
      <c r="M22" s="13" t="s">
        <v>86</v>
      </c>
      <c r="N22" s="12" t="n">
        <v>3</v>
      </c>
      <c r="O22" s="13" t="s">
        <v>72</v>
      </c>
    </row>
    <row r="23" customFormat="false" ht="15" hidden="false" customHeight="true" outlineLevel="0" collapsed="false">
      <c r="A23" s="12" t="n">
        <v>22</v>
      </c>
      <c r="B23" s="13" t="s">
        <v>107</v>
      </c>
      <c r="C23" s="13" t="s">
        <v>93</v>
      </c>
      <c r="D23" s="13" t="s">
        <v>81</v>
      </c>
      <c r="E23" s="12" t="n">
        <v>5</v>
      </c>
      <c r="F23" s="13" t="s">
        <v>72</v>
      </c>
      <c r="G23" s="12" t="n">
        <v>1</v>
      </c>
      <c r="H23" s="13" t="s">
        <v>89</v>
      </c>
      <c r="I23" s="14" t="n">
        <v>4</v>
      </c>
      <c r="J23" s="15" t="s">
        <v>89</v>
      </c>
      <c r="K23" s="14" t="s">
        <v>82</v>
      </c>
      <c r="L23" s="12" t="n">
        <v>2</v>
      </c>
      <c r="M23" s="13" t="s">
        <v>89</v>
      </c>
      <c r="N23" s="12" t="n">
        <v>3</v>
      </c>
      <c r="O23" s="13" t="s">
        <v>89</v>
      </c>
    </row>
    <row r="24" customFormat="false" ht="15" hidden="false" customHeight="true" outlineLevel="0" collapsed="false">
      <c r="A24" s="12" t="n">
        <v>23</v>
      </c>
      <c r="B24" s="13" t="s">
        <v>108</v>
      </c>
      <c r="C24" s="13" t="s">
        <v>93</v>
      </c>
      <c r="D24" s="13" t="s">
        <v>81</v>
      </c>
      <c r="E24" s="12" t="n">
        <v>1</v>
      </c>
      <c r="F24" s="13" t="s">
        <v>89</v>
      </c>
      <c r="G24" s="12" t="n">
        <v>2</v>
      </c>
      <c r="H24" s="13" t="s">
        <v>89</v>
      </c>
      <c r="I24" s="14" t="n">
        <v>5</v>
      </c>
      <c r="J24" s="15" t="s">
        <v>89</v>
      </c>
      <c r="K24" s="14" t="s">
        <v>82</v>
      </c>
      <c r="L24" s="12" t="n">
        <v>3</v>
      </c>
      <c r="M24" s="13" t="s">
        <v>89</v>
      </c>
      <c r="N24" s="12" t="n">
        <v>4</v>
      </c>
      <c r="O24" s="13" t="s">
        <v>89</v>
      </c>
    </row>
    <row r="25" customFormat="false" ht="23.25" hidden="false" customHeight="true" outlineLevel="0" collapsed="false">
      <c r="A25" s="12" t="n">
        <v>24</v>
      </c>
      <c r="B25" s="13" t="s">
        <v>109</v>
      </c>
      <c r="C25" s="13" t="s">
        <v>93</v>
      </c>
      <c r="D25" s="13" t="s">
        <v>81</v>
      </c>
      <c r="E25" s="12" t="n">
        <v>1</v>
      </c>
      <c r="F25" s="13" t="s">
        <v>86</v>
      </c>
      <c r="G25" s="12" t="n">
        <v>4</v>
      </c>
      <c r="H25" s="13" t="s">
        <v>86</v>
      </c>
      <c r="I25" s="14" t="n">
        <v>5</v>
      </c>
      <c r="J25" s="15" t="s">
        <v>86</v>
      </c>
      <c r="K25" s="14" t="s">
        <v>82</v>
      </c>
      <c r="L25" s="12" t="n">
        <v>3</v>
      </c>
      <c r="M25" s="13" t="s">
        <v>86</v>
      </c>
      <c r="N25" s="12" t="n">
        <v>2</v>
      </c>
      <c r="O25" s="13" t="s">
        <v>86</v>
      </c>
    </row>
    <row r="26" customFormat="false" ht="23.25" hidden="false" customHeight="true" outlineLevel="0" collapsed="false">
      <c r="A26" s="12" t="n">
        <v>25</v>
      </c>
      <c r="B26" s="13" t="s">
        <v>110</v>
      </c>
      <c r="C26" s="13" t="s">
        <v>93</v>
      </c>
      <c r="D26" s="13" t="s">
        <v>81</v>
      </c>
      <c r="E26" s="12" t="n">
        <v>1</v>
      </c>
      <c r="F26" s="13" t="s">
        <v>89</v>
      </c>
      <c r="G26" s="12" t="n">
        <v>4</v>
      </c>
      <c r="H26" s="13" t="s">
        <v>72</v>
      </c>
      <c r="I26" s="12" t="n">
        <v>5</v>
      </c>
      <c r="J26" s="13" t="s">
        <v>72</v>
      </c>
      <c r="K26" s="12"/>
      <c r="L26" s="12" t="n">
        <v>2</v>
      </c>
      <c r="M26" s="13" t="s">
        <v>72</v>
      </c>
      <c r="N26" s="12" t="n">
        <v>3</v>
      </c>
      <c r="O26" s="13" t="s">
        <v>72</v>
      </c>
    </row>
    <row r="27" customFormat="false" ht="23.25" hidden="false" customHeight="true" outlineLevel="0" collapsed="false">
      <c r="A27" s="12" t="n">
        <v>26</v>
      </c>
      <c r="B27" s="13" t="s">
        <v>111</v>
      </c>
      <c r="C27" s="13" t="s">
        <v>93</v>
      </c>
      <c r="D27" s="13" t="s">
        <v>81</v>
      </c>
      <c r="E27" s="12" t="n">
        <v>3</v>
      </c>
      <c r="F27" s="13" t="s">
        <v>89</v>
      </c>
      <c r="G27" s="12" t="n">
        <v>4</v>
      </c>
      <c r="H27" s="13" t="s">
        <v>89</v>
      </c>
      <c r="I27" s="14" t="n">
        <v>5</v>
      </c>
      <c r="J27" s="15" t="s">
        <v>89</v>
      </c>
      <c r="K27" s="14" t="s">
        <v>82</v>
      </c>
      <c r="L27" s="12" t="n">
        <v>1</v>
      </c>
      <c r="M27" s="13" t="s">
        <v>89</v>
      </c>
      <c r="N27" s="12" t="n">
        <v>2</v>
      </c>
      <c r="O27" s="13" t="s">
        <v>89</v>
      </c>
    </row>
    <row r="28" customFormat="false" ht="15" hidden="false" customHeight="true" outlineLevel="0" collapsed="false">
      <c r="A28" s="12" t="n">
        <v>27</v>
      </c>
      <c r="B28" s="13" t="s">
        <v>112</v>
      </c>
      <c r="C28" s="13" t="s">
        <v>93</v>
      </c>
      <c r="D28" s="13" t="s">
        <v>78</v>
      </c>
      <c r="E28" s="12" t="n">
        <v>4</v>
      </c>
      <c r="F28" s="13" t="s">
        <v>72</v>
      </c>
      <c r="G28" s="12" t="n">
        <v>3</v>
      </c>
      <c r="H28" s="13" t="s">
        <v>86</v>
      </c>
      <c r="I28" s="12" t="n">
        <v>5</v>
      </c>
      <c r="J28" s="13" t="s">
        <v>86</v>
      </c>
      <c r="K28" s="12"/>
      <c r="L28" s="12" t="n">
        <v>2</v>
      </c>
      <c r="M28" s="13" t="s">
        <v>86</v>
      </c>
      <c r="N28" s="12" t="n">
        <v>1</v>
      </c>
      <c r="O28" s="13" t="s">
        <v>86</v>
      </c>
    </row>
    <row r="29" customFormat="false" ht="15" hidden="false" customHeight="true" outlineLevel="0" collapsed="false">
      <c r="A29" s="12" t="n">
        <v>28</v>
      </c>
      <c r="B29" s="13" t="s">
        <v>113</v>
      </c>
      <c r="C29" s="13" t="s">
        <v>93</v>
      </c>
      <c r="D29" s="13" t="s">
        <v>74</v>
      </c>
      <c r="E29" s="12" t="n">
        <v>1</v>
      </c>
      <c r="F29" s="13" t="s">
        <v>89</v>
      </c>
      <c r="G29" s="12" t="n">
        <v>4</v>
      </c>
      <c r="H29" s="13" t="s">
        <v>89</v>
      </c>
      <c r="I29" s="14" t="n">
        <v>5</v>
      </c>
      <c r="J29" s="15" t="s">
        <v>89</v>
      </c>
      <c r="K29" s="14" t="s">
        <v>82</v>
      </c>
      <c r="L29" s="12" t="n">
        <v>2</v>
      </c>
      <c r="M29" s="13" t="s">
        <v>89</v>
      </c>
      <c r="N29" s="12" t="n">
        <v>3</v>
      </c>
      <c r="O29" s="13" t="s">
        <v>89</v>
      </c>
    </row>
    <row r="30" customFormat="false" ht="15" hidden="false" customHeight="true" outlineLevel="0" collapsed="false">
      <c r="A30" s="12" t="n">
        <v>29</v>
      </c>
      <c r="B30" s="13" t="s">
        <v>114</v>
      </c>
      <c r="C30" s="13" t="s">
        <v>115</v>
      </c>
      <c r="D30" s="13" t="s">
        <v>81</v>
      </c>
      <c r="E30" s="12" t="n">
        <v>2</v>
      </c>
      <c r="F30" s="13" t="s">
        <v>72</v>
      </c>
      <c r="G30" s="12" t="n">
        <v>4</v>
      </c>
      <c r="H30" s="13" t="s">
        <v>72</v>
      </c>
      <c r="I30" s="12" t="n">
        <v>5</v>
      </c>
      <c r="J30" s="13" t="s">
        <v>72</v>
      </c>
      <c r="K30" s="12"/>
      <c r="L30" s="12" t="n">
        <v>1</v>
      </c>
      <c r="M30" s="13" t="s">
        <v>70</v>
      </c>
      <c r="N30" s="12" t="n">
        <v>3</v>
      </c>
      <c r="O30" s="13" t="s">
        <v>72</v>
      </c>
    </row>
    <row r="31" customFormat="false" ht="15" hidden="false" customHeight="true" outlineLevel="0" collapsed="false">
      <c r="A31" s="12" t="n">
        <v>30</v>
      </c>
      <c r="B31" s="13" t="s">
        <v>116</v>
      </c>
      <c r="C31" s="13" t="s">
        <v>117</v>
      </c>
      <c r="D31" s="13" t="s">
        <v>81</v>
      </c>
      <c r="E31" s="12" t="n">
        <v>2</v>
      </c>
      <c r="F31" s="13" t="s">
        <v>86</v>
      </c>
      <c r="G31" s="12" t="n">
        <v>5</v>
      </c>
      <c r="H31" s="13" t="s">
        <v>72</v>
      </c>
      <c r="I31" s="14" t="n">
        <v>4</v>
      </c>
      <c r="J31" s="15" t="s">
        <v>86</v>
      </c>
      <c r="K31" s="14" t="s">
        <v>82</v>
      </c>
      <c r="L31" s="12" t="n">
        <v>3</v>
      </c>
      <c r="M31" s="13" t="s">
        <v>86</v>
      </c>
      <c r="N31" s="12" t="n">
        <v>1</v>
      </c>
      <c r="O31" s="13" t="s">
        <v>86</v>
      </c>
    </row>
    <row r="32" customFormat="false" ht="23.25" hidden="false" customHeight="true" outlineLevel="0" collapsed="false">
      <c r="A32" s="12" t="n">
        <v>31</v>
      </c>
      <c r="B32" s="13" t="s">
        <v>118</v>
      </c>
      <c r="C32" s="13" t="s">
        <v>117</v>
      </c>
      <c r="D32" s="13" t="s">
        <v>74</v>
      </c>
      <c r="E32" s="12" t="n">
        <v>3</v>
      </c>
      <c r="F32" s="13" t="s">
        <v>86</v>
      </c>
      <c r="G32" s="12" t="n">
        <v>5</v>
      </c>
      <c r="H32" s="13" t="s">
        <v>72</v>
      </c>
      <c r="I32" s="14" t="n">
        <v>4</v>
      </c>
      <c r="J32" s="15" t="s">
        <v>86</v>
      </c>
      <c r="K32" s="14" t="s">
        <v>82</v>
      </c>
      <c r="L32" s="12" t="n">
        <v>2</v>
      </c>
      <c r="M32" s="13" t="s">
        <v>86</v>
      </c>
      <c r="N32" s="12" t="n">
        <v>1</v>
      </c>
      <c r="O32" s="13" t="s">
        <v>86</v>
      </c>
    </row>
    <row r="33" customFormat="false" ht="15" hidden="false" customHeight="true" outlineLevel="0" collapsed="false">
      <c r="A33" s="12" t="n">
        <v>32</v>
      </c>
      <c r="B33" s="13" t="s">
        <v>119</v>
      </c>
      <c r="C33" s="13" t="s">
        <v>117</v>
      </c>
      <c r="D33" s="13" t="s">
        <v>81</v>
      </c>
      <c r="E33" s="12" t="n">
        <v>3</v>
      </c>
      <c r="F33" s="13" t="s">
        <v>72</v>
      </c>
      <c r="G33" s="12" t="n">
        <v>2</v>
      </c>
      <c r="H33" s="13" t="s">
        <v>86</v>
      </c>
      <c r="I33" s="12" t="n">
        <v>5</v>
      </c>
      <c r="J33" s="13" t="s">
        <v>86</v>
      </c>
      <c r="K33" s="12"/>
      <c r="L33" s="12" t="n">
        <v>1</v>
      </c>
      <c r="M33" s="13" t="s">
        <v>86</v>
      </c>
      <c r="N33" s="12" t="n">
        <v>4</v>
      </c>
      <c r="O33" s="13" t="s">
        <v>72</v>
      </c>
    </row>
    <row r="34" customFormat="false" ht="23.25" hidden="false" customHeight="true" outlineLevel="0" collapsed="false">
      <c r="A34" s="12" t="n">
        <v>33</v>
      </c>
      <c r="B34" s="13" t="s">
        <v>120</v>
      </c>
      <c r="C34" s="13" t="s">
        <v>117</v>
      </c>
      <c r="D34" s="13" t="s">
        <v>74</v>
      </c>
      <c r="E34" s="12" t="n">
        <v>3</v>
      </c>
      <c r="F34" s="13" t="s">
        <v>72</v>
      </c>
      <c r="G34" s="12" t="n">
        <v>2</v>
      </c>
      <c r="H34" s="13" t="s">
        <v>86</v>
      </c>
      <c r="I34" s="12" t="n">
        <v>5</v>
      </c>
      <c r="J34" s="13" t="s">
        <v>72</v>
      </c>
      <c r="K34" s="12"/>
      <c r="L34" s="12" t="n">
        <v>1</v>
      </c>
      <c r="M34" s="13" t="s">
        <v>86</v>
      </c>
      <c r="N34" s="12" t="n">
        <v>4</v>
      </c>
      <c r="O34" s="13" t="s">
        <v>72</v>
      </c>
    </row>
    <row r="35" customFormat="false" ht="15" hidden="false" customHeight="true" outlineLevel="0" collapsed="false">
      <c r="A35" s="12" t="n">
        <v>34</v>
      </c>
      <c r="B35" s="13" t="s">
        <v>121</v>
      </c>
      <c r="C35" s="13" t="s">
        <v>117</v>
      </c>
      <c r="D35" s="13" t="s">
        <v>100</v>
      </c>
      <c r="E35" s="12" t="n">
        <v>4</v>
      </c>
      <c r="F35" s="13" t="s">
        <v>89</v>
      </c>
      <c r="G35" s="12" t="n">
        <v>2</v>
      </c>
      <c r="H35" s="13" t="s">
        <v>89</v>
      </c>
      <c r="I35" s="14" t="n">
        <v>3</v>
      </c>
      <c r="J35" s="15" t="s">
        <v>89</v>
      </c>
      <c r="K35" s="14" t="s">
        <v>105</v>
      </c>
      <c r="L35" s="12" t="n">
        <v>5</v>
      </c>
      <c r="M35" s="13" t="s">
        <v>89</v>
      </c>
      <c r="N35" s="12" t="n">
        <v>1</v>
      </c>
      <c r="O35" s="13" t="s">
        <v>89</v>
      </c>
    </row>
    <row r="36" customFormat="false" ht="15" hidden="false" customHeight="true" outlineLevel="0" collapsed="false">
      <c r="A36" s="12" t="n">
        <v>35</v>
      </c>
      <c r="B36" s="13" t="s">
        <v>122</v>
      </c>
      <c r="C36" s="13" t="s">
        <v>123</v>
      </c>
      <c r="D36" s="13" t="s">
        <v>74</v>
      </c>
      <c r="E36" s="12" t="n">
        <v>3</v>
      </c>
      <c r="F36" s="13" t="s">
        <v>89</v>
      </c>
      <c r="G36" s="12" t="n">
        <v>2</v>
      </c>
      <c r="H36" s="13" t="s">
        <v>89</v>
      </c>
      <c r="I36" s="14" t="n">
        <v>5</v>
      </c>
      <c r="J36" s="15" t="s">
        <v>89</v>
      </c>
      <c r="K36" s="14" t="s">
        <v>82</v>
      </c>
      <c r="L36" s="12" t="n">
        <v>4</v>
      </c>
      <c r="M36" s="13" t="s">
        <v>89</v>
      </c>
      <c r="N36" s="12" t="n">
        <v>1</v>
      </c>
      <c r="O36" s="13" t="s">
        <v>89</v>
      </c>
    </row>
    <row r="37" customFormat="false" ht="15" hidden="false" customHeight="true" outlineLevel="0" collapsed="false">
      <c r="A37" s="12" t="n">
        <v>36</v>
      </c>
      <c r="B37" s="13" t="s">
        <v>124</v>
      </c>
      <c r="C37" s="13" t="s">
        <v>125</v>
      </c>
      <c r="D37" s="13" t="s">
        <v>81</v>
      </c>
      <c r="E37" s="12" t="n">
        <v>1</v>
      </c>
      <c r="F37" s="13" t="s">
        <v>86</v>
      </c>
      <c r="G37" s="12" t="n">
        <v>2</v>
      </c>
      <c r="H37" s="13" t="s">
        <v>86</v>
      </c>
      <c r="I37" s="12" t="n">
        <v>5</v>
      </c>
      <c r="J37" s="13" t="s">
        <v>86</v>
      </c>
      <c r="K37" s="12"/>
      <c r="L37" s="12" t="n">
        <v>2</v>
      </c>
      <c r="M37" s="13" t="s">
        <v>86</v>
      </c>
      <c r="N37" s="12" t="n">
        <v>3</v>
      </c>
      <c r="O37" s="13" t="s">
        <v>86</v>
      </c>
      <c r="P37" s="1" t="s">
        <v>82</v>
      </c>
    </row>
    <row r="38" customFormat="false" ht="15" hidden="false" customHeight="true" outlineLevel="0" collapsed="false">
      <c r="A38" s="12" t="n">
        <v>37</v>
      </c>
      <c r="B38" s="13" t="s">
        <v>126</v>
      </c>
      <c r="C38" s="13" t="s">
        <v>127</v>
      </c>
      <c r="D38" s="13" t="s">
        <v>74</v>
      </c>
      <c r="E38" s="12" t="n">
        <v>3</v>
      </c>
      <c r="F38" s="13" t="s">
        <v>72</v>
      </c>
      <c r="G38" s="12" t="n">
        <v>4</v>
      </c>
      <c r="H38" s="13" t="s">
        <v>72</v>
      </c>
      <c r="I38" s="12" t="n">
        <v>5</v>
      </c>
      <c r="J38" s="13" t="s">
        <v>72</v>
      </c>
      <c r="K38" s="12"/>
      <c r="L38" s="12" t="n">
        <v>2</v>
      </c>
      <c r="M38" s="13" t="s">
        <v>72</v>
      </c>
      <c r="N38" s="12" t="n">
        <v>1</v>
      </c>
      <c r="O38" s="13" t="s">
        <v>128</v>
      </c>
    </row>
    <row r="39" customFormat="false" ht="23.25" hidden="false" customHeight="true" outlineLevel="0" collapsed="false">
      <c r="A39" s="12" t="n">
        <v>38</v>
      </c>
      <c r="B39" s="13" t="s">
        <v>129</v>
      </c>
      <c r="C39" s="13" t="s">
        <v>127</v>
      </c>
      <c r="D39" s="13" t="s">
        <v>71</v>
      </c>
      <c r="E39" s="12" t="n">
        <v>5</v>
      </c>
      <c r="F39" s="13" t="s">
        <v>72</v>
      </c>
      <c r="G39" s="12" t="n">
        <v>1</v>
      </c>
      <c r="H39" s="13" t="s">
        <v>70</v>
      </c>
      <c r="I39" s="14" t="n">
        <v>3</v>
      </c>
      <c r="J39" s="15" t="s">
        <v>70</v>
      </c>
      <c r="K39" s="14" t="s">
        <v>82</v>
      </c>
      <c r="L39" s="12" t="n">
        <v>4</v>
      </c>
      <c r="M39" s="13" t="s">
        <v>72</v>
      </c>
      <c r="N39" s="12" t="n">
        <v>2</v>
      </c>
      <c r="O39" s="13" t="s">
        <v>70</v>
      </c>
    </row>
    <row r="40" customFormat="false" ht="23.25" hidden="false" customHeight="true" outlineLevel="0" collapsed="false">
      <c r="A40" s="12" t="n">
        <v>39</v>
      </c>
      <c r="B40" s="13" t="s">
        <v>130</v>
      </c>
      <c r="C40" s="13" t="s">
        <v>127</v>
      </c>
      <c r="D40" s="13" t="s">
        <v>71</v>
      </c>
      <c r="E40" s="12" t="n">
        <v>4</v>
      </c>
      <c r="F40" s="13" t="s">
        <v>72</v>
      </c>
      <c r="G40" s="12" t="n">
        <v>2</v>
      </c>
      <c r="H40" s="13" t="s">
        <v>70</v>
      </c>
      <c r="I40" s="12" t="n">
        <v>5</v>
      </c>
      <c r="J40" s="13" t="s">
        <v>72</v>
      </c>
      <c r="K40" s="12"/>
      <c r="L40" s="12" t="n">
        <v>1</v>
      </c>
      <c r="M40" s="13" t="s">
        <v>70</v>
      </c>
      <c r="N40" s="12" t="n">
        <v>3</v>
      </c>
      <c r="O40" s="13" t="s">
        <v>70</v>
      </c>
    </row>
    <row r="41" customFormat="false" ht="15" hidden="false" customHeight="true" outlineLevel="0" collapsed="false">
      <c r="A41" s="12" t="n">
        <v>40</v>
      </c>
      <c r="B41" s="13" t="s">
        <v>131</v>
      </c>
      <c r="C41" s="13" t="s">
        <v>127</v>
      </c>
      <c r="D41" s="13" t="s">
        <v>81</v>
      </c>
      <c r="E41" s="12" t="n">
        <v>3</v>
      </c>
      <c r="F41" s="13" t="s">
        <v>72</v>
      </c>
      <c r="G41" s="12" t="n">
        <v>4</v>
      </c>
      <c r="H41" s="13" t="s">
        <v>72</v>
      </c>
      <c r="I41" s="12" t="n">
        <v>5</v>
      </c>
      <c r="J41" s="13" t="s">
        <v>72</v>
      </c>
      <c r="K41" s="12"/>
      <c r="L41" s="12" t="n">
        <v>2</v>
      </c>
      <c r="M41" s="13" t="s">
        <v>72</v>
      </c>
      <c r="N41" s="12" t="n">
        <v>1</v>
      </c>
      <c r="O41" s="13" t="s">
        <v>128</v>
      </c>
    </row>
    <row r="42" customFormat="false" ht="15" hidden="false" customHeight="true" outlineLevel="0" collapsed="false">
      <c r="A42" s="12" t="n">
        <v>41</v>
      </c>
      <c r="B42" s="13" t="s">
        <v>132</v>
      </c>
      <c r="C42" s="13" t="s">
        <v>127</v>
      </c>
      <c r="D42" s="13" t="s">
        <v>78</v>
      </c>
      <c r="E42" s="12" t="n">
        <v>4</v>
      </c>
      <c r="F42" s="13" t="s">
        <v>72</v>
      </c>
      <c r="G42" s="12" t="n">
        <v>2</v>
      </c>
      <c r="H42" s="13" t="s">
        <v>128</v>
      </c>
      <c r="I42" s="14" t="n">
        <v>3</v>
      </c>
      <c r="J42" s="15" t="s">
        <v>128</v>
      </c>
      <c r="K42" s="14" t="s">
        <v>82</v>
      </c>
      <c r="L42" s="12" t="n">
        <v>1</v>
      </c>
      <c r="M42" s="13" t="s">
        <v>128</v>
      </c>
      <c r="N42" s="12" t="n">
        <v>5</v>
      </c>
      <c r="O42" s="13" t="s">
        <v>72</v>
      </c>
    </row>
    <row r="43" customFormat="false" ht="15" hidden="false" customHeight="true" outlineLevel="0" collapsed="false">
      <c r="A43" s="12" t="n">
        <v>42</v>
      </c>
      <c r="B43" s="13" t="s">
        <v>133</v>
      </c>
      <c r="C43" s="13" t="s">
        <v>134</v>
      </c>
      <c r="D43" s="13" t="s">
        <v>81</v>
      </c>
      <c r="E43" s="12" t="n">
        <v>3</v>
      </c>
      <c r="F43" s="13" t="s">
        <v>89</v>
      </c>
      <c r="G43" s="12" t="n">
        <v>2</v>
      </c>
      <c r="H43" s="13" t="s">
        <v>89</v>
      </c>
      <c r="I43" s="14" t="n">
        <v>5</v>
      </c>
      <c r="J43" s="15" t="s">
        <v>89</v>
      </c>
      <c r="K43" s="14" t="s">
        <v>82</v>
      </c>
      <c r="L43" s="12" t="n">
        <v>4</v>
      </c>
      <c r="M43" s="13" t="s">
        <v>89</v>
      </c>
      <c r="N43" s="12" t="n">
        <v>1</v>
      </c>
      <c r="O43" s="13" t="s">
        <v>89</v>
      </c>
    </row>
    <row r="44" customFormat="false" ht="15" hidden="false" customHeight="true" outlineLevel="0" collapsed="false">
      <c r="A44" s="12" t="n">
        <v>43</v>
      </c>
      <c r="B44" s="13" t="s">
        <v>135</v>
      </c>
      <c r="C44" s="13" t="s">
        <v>136</v>
      </c>
      <c r="D44" s="13" t="s">
        <v>78</v>
      </c>
      <c r="E44" s="12" t="n">
        <v>3</v>
      </c>
      <c r="F44" s="13" t="s">
        <v>72</v>
      </c>
      <c r="G44" s="12" t="n">
        <v>4</v>
      </c>
      <c r="H44" s="13" t="s">
        <v>72</v>
      </c>
      <c r="I44" s="12" t="n">
        <v>5</v>
      </c>
      <c r="J44" s="13" t="s">
        <v>86</v>
      </c>
      <c r="K44" s="12"/>
      <c r="L44" s="12" t="n">
        <v>2</v>
      </c>
      <c r="M44" s="13" t="s">
        <v>86</v>
      </c>
      <c r="N44" s="12" t="n">
        <v>1</v>
      </c>
      <c r="O44" s="13" t="s">
        <v>86</v>
      </c>
    </row>
    <row r="45" customFormat="false" ht="23.25" hidden="false" customHeight="true" outlineLevel="0" collapsed="false">
      <c r="A45" s="12" t="n">
        <v>44</v>
      </c>
      <c r="B45" s="13" t="s">
        <v>137</v>
      </c>
      <c r="C45" s="13" t="s">
        <v>138</v>
      </c>
      <c r="D45" s="13" t="s">
        <v>81</v>
      </c>
      <c r="E45" s="12" t="n">
        <v>2</v>
      </c>
      <c r="F45" s="13" t="s">
        <v>89</v>
      </c>
      <c r="G45" s="12" t="n">
        <v>1</v>
      </c>
      <c r="H45" s="13" t="s">
        <v>89</v>
      </c>
      <c r="I45" s="12" t="n">
        <v>5</v>
      </c>
      <c r="J45" s="13" t="s">
        <v>72</v>
      </c>
      <c r="K45" s="12"/>
      <c r="L45" s="12" t="n">
        <v>4</v>
      </c>
      <c r="M45" s="13" t="s">
        <v>89</v>
      </c>
      <c r="N45" s="12" t="n">
        <v>3</v>
      </c>
      <c r="O45" s="13" t="s">
        <v>89</v>
      </c>
    </row>
    <row r="46" customFormat="false" ht="15" hidden="false" customHeight="true" outlineLevel="0" collapsed="false">
      <c r="A46" s="12" t="n">
        <v>45</v>
      </c>
      <c r="B46" s="13" t="s">
        <v>139</v>
      </c>
      <c r="C46" s="13" t="s">
        <v>138</v>
      </c>
      <c r="D46" s="13" t="s">
        <v>78</v>
      </c>
      <c r="E46" s="12" t="n">
        <v>4</v>
      </c>
      <c r="F46" s="13" t="s">
        <v>72</v>
      </c>
      <c r="G46" s="12" t="n">
        <v>5</v>
      </c>
      <c r="H46" s="13" t="s">
        <v>72</v>
      </c>
      <c r="I46" s="14" t="n">
        <v>2</v>
      </c>
      <c r="J46" s="15" t="s">
        <v>89</v>
      </c>
      <c r="K46" s="14" t="s">
        <v>82</v>
      </c>
      <c r="L46" s="12" t="n">
        <v>3</v>
      </c>
      <c r="M46" s="13" t="s">
        <v>72</v>
      </c>
      <c r="N46" s="12" t="n">
        <v>1</v>
      </c>
      <c r="O46" s="13" t="s">
        <v>89</v>
      </c>
    </row>
    <row r="47" customFormat="false" ht="15" hidden="false" customHeight="true" outlineLevel="0" collapsed="false">
      <c r="A47" s="12" t="n">
        <v>46</v>
      </c>
      <c r="B47" s="13" t="s">
        <v>140</v>
      </c>
      <c r="C47" s="13" t="s">
        <v>141</v>
      </c>
      <c r="D47" s="13" t="s">
        <v>74</v>
      </c>
      <c r="E47" s="12" t="n">
        <v>4</v>
      </c>
      <c r="F47" s="13" t="s">
        <v>72</v>
      </c>
      <c r="G47" s="12" t="n">
        <v>1</v>
      </c>
      <c r="H47" s="13" t="s">
        <v>89</v>
      </c>
      <c r="I47" s="14" t="n">
        <v>3</v>
      </c>
      <c r="J47" s="15" t="s">
        <v>89</v>
      </c>
      <c r="K47" s="14" t="s">
        <v>82</v>
      </c>
      <c r="L47" s="12" t="n">
        <v>2</v>
      </c>
      <c r="M47" s="13" t="s">
        <v>89</v>
      </c>
      <c r="N47" s="12" t="n">
        <v>5</v>
      </c>
      <c r="O47" s="13" t="s">
        <v>72</v>
      </c>
    </row>
    <row r="48" customFormat="false" ht="15" hidden="false" customHeight="true" outlineLevel="0" collapsed="false">
      <c r="A48" s="12" t="n">
        <v>47</v>
      </c>
      <c r="B48" s="13" t="s">
        <v>142</v>
      </c>
      <c r="C48" s="13" t="s">
        <v>141</v>
      </c>
      <c r="D48" s="13" t="s">
        <v>74</v>
      </c>
      <c r="E48" s="12" t="n">
        <v>1</v>
      </c>
      <c r="F48" s="13" t="s">
        <v>89</v>
      </c>
      <c r="G48" s="12" t="n">
        <v>4</v>
      </c>
      <c r="H48" s="13" t="s">
        <v>72</v>
      </c>
      <c r="I48" s="12" t="n">
        <v>5</v>
      </c>
      <c r="J48" s="13" t="s">
        <v>72</v>
      </c>
      <c r="K48" s="12"/>
      <c r="L48" s="12" t="n">
        <v>2</v>
      </c>
      <c r="M48" s="13" t="s">
        <v>72</v>
      </c>
      <c r="N48" s="12" t="n">
        <v>3</v>
      </c>
      <c r="O48" s="13" t="s">
        <v>89</v>
      </c>
    </row>
    <row r="49" customFormat="false" ht="15" hidden="false" customHeight="true" outlineLevel="0" collapsed="false">
      <c r="A49" s="12" t="n">
        <v>48</v>
      </c>
      <c r="B49" s="13" t="s">
        <v>143</v>
      </c>
      <c r="C49" s="13" t="s">
        <v>144</v>
      </c>
      <c r="D49" s="13" t="s">
        <v>74</v>
      </c>
      <c r="E49" s="12" t="n">
        <v>1</v>
      </c>
      <c r="F49" s="13" t="s">
        <v>89</v>
      </c>
      <c r="G49" s="12" t="n">
        <v>4</v>
      </c>
      <c r="H49" s="13" t="s">
        <v>72</v>
      </c>
      <c r="I49" s="12" t="n">
        <v>5</v>
      </c>
      <c r="J49" s="13" t="s">
        <v>72</v>
      </c>
      <c r="K49" s="12"/>
      <c r="L49" s="12" t="n">
        <v>2</v>
      </c>
      <c r="M49" s="13" t="s">
        <v>72</v>
      </c>
      <c r="N49" s="12" t="n">
        <v>3</v>
      </c>
      <c r="O49" s="13" t="s">
        <v>72</v>
      </c>
    </row>
    <row r="50" customFormat="false" ht="15" hidden="false" customHeight="true" outlineLevel="0" collapsed="false">
      <c r="A50" s="12" t="n">
        <v>49</v>
      </c>
      <c r="B50" s="13" t="s">
        <v>145</v>
      </c>
      <c r="C50" s="13" t="s">
        <v>144</v>
      </c>
      <c r="D50" s="13" t="s">
        <v>74</v>
      </c>
      <c r="E50" s="12" t="n">
        <v>5</v>
      </c>
      <c r="F50" s="13" t="s">
        <v>72</v>
      </c>
      <c r="G50" s="12" t="n">
        <v>1</v>
      </c>
      <c r="H50" s="13" t="s">
        <v>89</v>
      </c>
      <c r="I50" s="14" t="n">
        <v>4</v>
      </c>
      <c r="J50" s="15" t="s">
        <v>89</v>
      </c>
      <c r="K50" s="14" t="s">
        <v>82</v>
      </c>
      <c r="L50" s="12" t="n">
        <v>3</v>
      </c>
      <c r="M50" s="13" t="s">
        <v>89</v>
      </c>
      <c r="N50" s="12" t="n">
        <v>2</v>
      </c>
      <c r="O50" s="13" t="s">
        <v>89</v>
      </c>
    </row>
    <row r="51" customFormat="false" ht="15" hidden="false" customHeight="true" outlineLevel="0" collapsed="false">
      <c r="A51" s="12" t="n">
        <v>50</v>
      </c>
      <c r="B51" s="13" t="s">
        <v>146</v>
      </c>
      <c r="C51" s="13" t="s">
        <v>147</v>
      </c>
      <c r="D51" s="13" t="s">
        <v>81</v>
      </c>
      <c r="E51" s="12" t="n">
        <v>1</v>
      </c>
      <c r="F51" s="13" t="s">
        <v>89</v>
      </c>
      <c r="G51" s="12" t="n">
        <v>2</v>
      </c>
      <c r="H51" s="13" t="s">
        <v>89</v>
      </c>
      <c r="I51" s="12" t="n">
        <v>5</v>
      </c>
      <c r="J51" s="13" t="s">
        <v>89</v>
      </c>
      <c r="K51" s="12"/>
      <c r="L51" s="12" t="n">
        <v>3</v>
      </c>
      <c r="M51" s="13" t="s">
        <v>89</v>
      </c>
      <c r="N51" s="12" t="n">
        <v>4</v>
      </c>
      <c r="O51" s="13" t="s">
        <v>72</v>
      </c>
    </row>
    <row r="52" customFormat="false" ht="15" hidden="false" customHeight="true" outlineLevel="0" collapsed="false">
      <c r="A52" s="12" t="n">
        <v>51</v>
      </c>
      <c r="B52" s="13" t="s">
        <v>148</v>
      </c>
      <c r="C52" s="13" t="s">
        <v>147</v>
      </c>
      <c r="D52" s="13" t="s">
        <v>81</v>
      </c>
      <c r="E52" s="12" t="n">
        <v>2</v>
      </c>
      <c r="F52" s="13" t="s">
        <v>89</v>
      </c>
      <c r="G52" s="12" t="n">
        <v>4</v>
      </c>
      <c r="H52" s="13" t="s">
        <v>89</v>
      </c>
      <c r="I52" s="14" t="n">
        <v>5</v>
      </c>
      <c r="J52" s="15" t="s">
        <v>89</v>
      </c>
      <c r="K52" s="14" t="s">
        <v>82</v>
      </c>
      <c r="L52" s="12" t="n">
        <v>1</v>
      </c>
      <c r="M52" s="13" t="s">
        <v>89</v>
      </c>
      <c r="N52" s="12" t="n">
        <v>3</v>
      </c>
      <c r="O52" s="13" t="s">
        <v>89</v>
      </c>
    </row>
    <row r="53" customFormat="false" ht="23.25" hidden="false" customHeight="true" outlineLevel="0" collapsed="false">
      <c r="A53" s="12" t="n">
        <v>52</v>
      </c>
      <c r="B53" s="13" t="s">
        <v>149</v>
      </c>
      <c r="C53" s="13" t="s">
        <v>147</v>
      </c>
      <c r="D53" s="13" t="s">
        <v>74</v>
      </c>
      <c r="E53" s="12" t="n">
        <v>2</v>
      </c>
      <c r="F53" s="13" t="s">
        <v>89</v>
      </c>
      <c r="G53" s="12" t="n">
        <v>1</v>
      </c>
      <c r="H53" s="13" t="s">
        <v>89</v>
      </c>
      <c r="I53" s="12" t="n">
        <v>5</v>
      </c>
      <c r="J53" s="13" t="s">
        <v>89</v>
      </c>
      <c r="K53" s="12"/>
      <c r="L53" s="12" t="n">
        <v>3</v>
      </c>
      <c r="M53" s="13" t="s">
        <v>89</v>
      </c>
      <c r="N53" s="12" t="n">
        <v>4</v>
      </c>
      <c r="O53" s="13" t="s">
        <v>72</v>
      </c>
    </row>
    <row r="54" customFormat="false" ht="15" hidden="false" customHeight="true" outlineLevel="0" collapsed="false">
      <c r="A54" s="12" t="n">
        <v>53</v>
      </c>
      <c r="B54" s="13" t="s">
        <v>150</v>
      </c>
      <c r="C54" s="13" t="s">
        <v>147</v>
      </c>
      <c r="D54" s="13" t="s">
        <v>81</v>
      </c>
      <c r="E54" s="12" t="n">
        <v>1</v>
      </c>
      <c r="F54" s="13" t="s">
        <v>86</v>
      </c>
      <c r="G54" s="12" t="n">
        <v>4</v>
      </c>
      <c r="H54" s="13" t="s">
        <v>86</v>
      </c>
      <c r="I54" s="14" t="n">
        <v>5</v>
      </c>
      <c r="J54" s="15" t="s">
        <v>86</v>
      </c>
      <c r="K54" s="14" t="s">
        <v>82</v>
      </c>
      <c r="L54" s="12" t="n">
        <v>3</v>
      </c>
      <c r="M54" s="13" t="s">
        <v>86</v>
      </c>
      <c r="N54" s="12" t="n">
        <v>2</v>
      </c>
      <c r="O54" s="13" t="s">
        <v>86</v>
      </c>
    </row>
    <row r="55" customFormat="false" ht="15" hidden="false" customHeight="true" outlineLevel="0" collapsed="false">
      <c r="A55" s="12" t="n">
        <v>54</v>
      </c>
      <c r="B55" s="13" t="s">
        <v>151</v>
      </c>
      <c r="C55" s="13" t="s">
        <v>152</v>
      </c>
      <c r="D55" s="13" t="s">
        <v>74</v>
      </c>
      <c r="E55" s="12" t="n">
        <v>1</v>
      </c>
      <c r="F55" s="13" t="s">
        <v>89</v>
      </c>
      <c r="G55" s="12" t="n">
        <v>2</v>
      </c>
      <c r="H55" s="13" t="s">
        <v>89</v>
      </c>
      <c r="I55" s="14" t="n">
        <v>5</v>
      </c>
      <c r="J55" s="15" t="s">
        <v>89</v>
      </c>
      <c r="K55" s="14" t="s">
        <v>82</v>
      </c>
      <c r="L55" s="12" t="n">
        <v>4</v>
      </c>
      <c r="M55" s="13" t="s">
        <v>89</v>
      </c>
      <c r="N55" s="12" t="n">
        <v>3</v>
      </c>
      <c r="O55" s="13" t="s">
        <v>89</v>
      </c>
    </row>
    <row r="56" customFormat="false" ht="15" hidden="false" customHeight="true" outlineLevel="0" collapsed="false">
      <c r="A56" s="12" t="n">
        <v>55</v>
      </c>
      <c r="B56" s="13" t="s">
        <v>153</v>
      </c>
      <c r="C56" s="13" t="s">
        <v>152</v>
      </c>
      <c r="D56" s="13" t="s">
        <v>74</v>
      </c>
      <c r="E56" s="12" t="n">
        <v>3</v>
      </c>
      <c r="F56" s="13" t="s">
        <v>72</v>
      </c>
      <c r="G56" s="12" t="n">
        <v>1</v>
      </c>
      <c r="H56" s="13" t="s">
        <v>70</v>
      </c>
      <c r="I56" s="12" t="n">
        <v>5</v>
      </c>
      <c r="J56" s="13" t="s">
        <v>72</v>
      </c>
      <c r="K56" s="12"/>
      <c r="L56" s="12" t="n">
        <v>2</v>
      </c>
      <c r="M56" s="13" t="s">
        <v>72</v>
      </c>
      <c r="N56" s="12" t="n">
        <v>4</v>
      </c>
      <c r="O56" s="13" t="s">
        <v>72</v>
      </c>
    </row>
    <row r="57" customFormat="false" ht="15" hidden="false" customHeight="true" outlineLevel="0" collapsed="false">
      <c r="A57" s="12" t="n">
        <v>56</v>
      </c>
      <c r="B57" s="13" t="s">
        <v>154</v>
      </c>
      <c r="C57" s="13" t="s">
        <v>155</v>
      </c>
      <c r="D57" s="13" t="s">
        <v>81</v>
      </c>
      <c r="E57" s="12" t="n">
        <v>4</v>
      </c>
      <c r="F57" s="13" t="s">
        <v>89</v>
      </c>
      <c r="G57" s="12" t="n">
        <v>1</v>
      </c>
      <c r="H57" s="13" t="s">
        <v>89</v>
      </c>
      <c r="I57" s="14" t="n">
        <v>5</v>
      </c>
      <c r="J57" s="15" t="s">
        <v>89</v>
      </c>
      <c r="K57" s="14" t="s">
        <v>82</v>
      </c>
      <c r="L57" s="12" t="n">
        <v>3</v>
      </c>
      <c r="M57" s="13" t="s">
        <v>89</v>
      </c>
      <c r="N57" s="12" t="n">
        <v>2</v>
      </c>
      <c r="O57" s="13" t="s">
        <v>89</v>
      </c>
    </row>
    <row r="58" customFormat="false" ht="15" hidden="false" customHeight="true" outlineLevel="0" collapsed="false">
      <c r="A58" s="12" t="n">
        <v>57</v>
      </c>
      <c r="B58" s="13" t="s">
        <v>156</v>
      </c>
      <c r="C58" s="13" t="s">
        <v>155</v>
      </c>
      <c r="D58" s="13" t="s">
        <v>81</v>
      </c>
      <c r="E58" s="12" t="n">
        <v>3</v>
      </c>
      <c r="F58" s="13" t="s">
        <v>86</v>
      </c>
      <c r="G58" s="12" t="n">
        <v>4</v>
      </c>
      <c r="H58" s="13" t="s">
        <v>86</v>
      </c>
      <c r="I58" s="12" t="n">
        <v>5</v>
      </c>
      <c r="J58" s="13" t="s">
        <v>86</v>
      </c>
      <c r="K58" s="12"/>
      <c r="L58" s="12" t="n">
        <v>2</v>
      </c>
      <c r="M58" s="13" t="s">
        <v>86</v>
      </c>
      <c r="N58" s="12" t="n">
        <v>1</v>
      </c>
      <c r="O58" s="13" t="s">
        <v>86</v>
      </c>
    </row>
    <row r="59" customFormat="false" ht="15" hidden="false" customHeight="true" outlineLevel="0" collapsed="false">
      <c r="A59" s="12" t="n">
        <v>58</v>
      </c>
      <c r="B59" s="13" t="s">
        <v>157</v>
      </c>
      <c r="C59" s="13" t="s">
        <v>158</v>
      </c>
      <c r="D59" s="13" t="s">
        <v>74</v>
      </c>
      <c r="E59" s="12" t="n">
        <v>3</v>
      </c>
      <c r="F59" s="13" t="s">
        <v>89</v>
      </c>
      <c r="G59" s="12" t="n">
        <v>1</v>
      </c>
      <c r="H59" s="13" t="s">
        <v>89</v>
      </c>
      <c r="I59" s="12" t="n">
        <v>5</v>
      </c>
      <c r="J59" s="13" t="s">
        <v>89</v>
      </c>
      <c r="K59" s="12"/>
      <c r="L59" s="12" t="n">
        <v>2</v>
      </c>
      <c r="M59" s="13" t="s">
        <v>89</v>
      </c>
      <c r="N59" s="12" t="n">
        <v>4</v>
      </c>
      <c r="O59" s="13" t="s">
        <v>72</v>
      </c>
    </row>
    <row r="60" customFormat="false" ht="15" hidden="false" customHeight="true" outlineLevel="0" collapsed="false">
      <c r="A60" s="12" t="n">
        <v>59</v>
      </c>
      <c r="B60" s="13" t="s">
        <v>159</v>
      </c>
      <c r="C60" s="13" t="s">
        <v>160</v>
      </c>
      <c r="D60" s="13" t="s">
        <v>74</v>
      </c>
      <c r="E60" s="12" t="n">
        <v>3</v>
      </c>
      <c r="F60" s="13" t="s">
        <v>89</v>
      </c>
      <c r="G60" s="12" t="n">
        <v>1</v>
      </c>
      <c r="H60" s="13" t="s">
        <v>89</v>
      </c>
      <c r="I60" s="14" t="n">
        <v>5</v>
      </c>
      <c r="J60" s="15" t="s">
        <v>89</v>
      </c>
      <c r="K60" s="14" t="s">
        <v>82</v>
      </c>
      <c r="L60" s="12" t="n">
        <v>2</v>
      </c>
      <c r="M60" s="13" t="s">
        <v>89</v>
      </c>
      <c r="N60" s="12" t="n">
        <v>4</v>
      </c>
      <c r="O60" s="13" t="s">
        <v>89</v>
      </c>
    </row>
    <row r="61" customFormat="false" ht="15" hidden="false" customHeight="true" outlineLevel="0" collapsed="false">
      <c r="A61" s="12" t="n">
        <v>60</v>
      </c>
      <c r="B61" s="13" t="s">
        <v>161</v>
      </c>
      <c r="C61" s="13" t="s">
        <v>160</v>
      </c>
      <c r="D61" s="13" t="s">
        <v>74</v>
      </c>
      <c r="E61" s="12" t="n">
        <v>1</v>
      </c>
      <c r="F61" s="13" t="s">
        <v>89</v>
      </c>
      <c r="G61" s="12" t="n">
        <v>2</v>
      </c>
      <c r="H61" s="13" t="s">
        <v>89</v>
      </c>
      <c r="I61" s="12" t="n">
        <v>5</v>
      </c>
      <c r="J61" s="13" t="s">
        <v>89</v>
      </c>
      <c r="K61" s="12"/>
      <c r="L61" s="12" t="n">
        <v>3</v>
      </c>
      <c r="M61" s="13" t="s">
        <v>89</v>
      </c>
      <c r="N61" s="12" t="n">
        <v>4</v>
      </c>
      <c r="O61" s="13" t="s">
        <v>89</v>
      </c>
    </row>
    <row r="62" customFormat="false" ht="15" hidden="false" customHeight="true" outlineLevel="0" collapsed="false">
      <c r="A62" s="12" t="n">
        <v>61</v>
      </c>
      <c r="B62" s="13" t="s">
        <v>162</v>
      </c>
      <c r="C62" s="13" t="s">
        <v>160</v>
      </c>
      <c r="D62" s="13" t="s">
        <v>81</v>
      </c>
      <c r="E62" s="12" t="n">
        <v>2</v>
      </c>
      <c r="F62" s="13" t="s">
        <v>72</v>
      </c>
      <c r="G62" s="12" t="n">
        <v>4</v>
      </c>
      <c r="H62" s="13" t="s">
        <v>72</v>
      </c>
      <c r="I62" s="12" t="n">
        <v>5</v>
      </c>
      <c r="J62" s="13" t="s">
        <v>86</v>
      </c>
      <c r="K62" s="12"/>
      <c r="L62" s="12" t="n">
        <v>1</v>
      </c>
      <c r="M62" s="13" t="s">
        <v>89</v>
      </c>
      <c r="N62" s="12" t="n">
        <v>3</v>
      </c>
      <c r="O62" s="13" t="s">
        <v>72</v>
      </c>
    </row>
    <row r="63" customFormat="false" ht="15" hidden="false" customHeight="true" outlineLevel="0" collapsed="false">
      <c r="A63" s="12" t="n">
        <v>62</v>
      </c>
      <c r="B63" s="13" t="s">
        <v>163</v>
      </c>
      <c r="C63" s="13" t="s">
        <v>164</v>
      </c>
      <c r="D63" s="13" t="s">
        <v>74</v>
      </c>
      <c r="E63" s="12" t="n">
        <v>3</v>
      </c>
      <c r="F63" s="13" t="s">
        <v>89</v>
      </c>
      <c r="G63" s="12" t="n">
        <v>1</v>
      </c>
      <c r="H63" s="13" t="s">
        <v>89</v>
      </c>
      <c r="I63" s="12" t="n">
        <v>5</v>
      </c>
      <c r="J63" s="13" t="s">
        <v>89</v>
      </c>
      <c r="K63" s="12"/>
      <c r="L63" s="12" t="n">
        <v>4</v>
      </c>
      <c r="M63" s="13" t="s">
        <v>89</v>
      </c>
      <c r="N63" s="12" t="n">
        <v>2</v>
      </c>
      <c r="O63" s="13" t="s">
        <v>89</v>
      </c>
    </row>
    <row r="64" customFormat="false" ht="15" hidden="false" customHeight="true" outlineLevel="0" collapsed="false">
      <c r="A64" s="12" t="n">
        <v>63</v>
      </c>
      <c r="B64" s="13" t="s">
        <v>165</v>
      </c>
      <c r="C64" s="13" t="s">
        <v>164</v>
      </c>
      <c r="D64" s="13" t="s">
        <v>74</v>
      </c>
      <c r="E64" s="12" t="n">
        <v>2</v>
      </c>
      <c r="F64" s="13" t="s">
        <v>72</v>
      </c>
      <c r="G64" s="12" t="n">
        <v>4</v>
      </c>
      <c r="H64" s="13" t="s">
        <v>72</v>
      </c>
      <c r="I64" s="12" t="n">
        <v>5</v>
      </c>
      <c r="J64" s="13" t="s">
        <v>89</v>
      </c>
      <c r="K64" s="12"/>
      <c r="L64" s="12" t="n">
        <v>1</v>
      </c>
      <c r="M64" s="13" t="s">
        <v>89</v>
      </c>
      <c r="N64" s="12" t="n">
        <v>3</v>
      </c>
      <c r="O64" s="13" t="s">
        <v>72</v>
      </c>
    </row>
    <row r="65" customFormat="false" ht="15" hidden="false" customHeight="true" outlineLevel="0" collapsed="false">
      <c r="A65" s="12" t="n">
        <v>64</v>
      </c>
      <c r="B65" s="13" t="s">
        <v>166</v>
      </c>
      <c r="C65" s="13" t="s">
        <v>164</v>
      </c>
      <c r="D65" s="13" t="s">
        <v>74</v>
      </c>
      <c r="E65" s="12" t="n">
        <v>4</v>
      </c>
      <c r="F65" s="13" t="s">
        <v>89</v>
      </c>
      <c r="G65" s="12" t="n">
        <v>2</v>
      </c>
      <c r="H65" s="13" t="s">
        <v>89</v>
      </c>
      <c r="I65" s="14" t="n">
        <v>5</v>
      </c>
      <c r="J65" s="15" t="s">
        <v>89</v>
      </c>
      <c r="K65" s="14" t="s">
        <v>82</v>
      </c>
      <c r="L65" s="12" t="n">
        <v>3</v>
      </c>
      <c r="M65" s="13" t="s">
        <v>89</v>
      </c>
      <c r="N65" s="12" t="n">
        <v>1</v>
      </c>
      <c r="O65" s="13" t="s">
        <v>89</v>
      </c>
    </row>
    <row r="66" customFormat="false" ht="15" hidden="false" customHeight="true" outlineLevel="0" collapsed="false">
      <c r="A66" s="12" t="n">
        <v>65</v>
      </c>
      <c r="B66" s="13" t="s">
        <v>167</v>
      </c>
      <c r="C66" s="13" t="s">
        <v>164</v>
      </c>
      <c r="D66" s="13" t="s">
        <v>74</v>
      </c>
      <c r="E66" s="12" t="n">
        <v>3</v>
      </c>
      <c r="F66" s="13" t="s">
        <v>89</v>
      </c>
      <c r="G66" s="12" t="n">
        <v>2</v>
      </c>
      <c r="H66" s="13" t="s">
        <v>89</v>
      </c>
      <c r="I66" s="14" t="n">
        <v>5</v>
      </c>
      <c r="J66" s="15" t="s">
        <v>89</v>
      </c>
      <c r="K66" s="14" t="s">
        <v>82</v>
      </c>
      <c r="L66" s="12" t="n">
        <v>4</v>
      </c>
      <c r="M66" s="13" t="s">
        <v>89</v>
      </c>
      <c r="N66" s="12" t="n">
        <v>1</v>
      </c>
      <c r="O66" s="13" t="s">
        <v>89</v>
      </c>
    </row>
    <row r="67" customFormat="false" ht="15" hidden="false" customHeight="true" outlineLevel="0" collapsed="false">
      <c r="A67" s="12" t="n">
        <v>66</v>
      </c>
      <c r="B67" s="13" t="s">
        <v>168</v>
      </c>
      <c r="C67" s="13" t="s">
        <v>164</v>
      </c>
      <c r="D67" s="13" t="s">
        <v>81</v>
      </c>
      <c r="E67" s="12" t="n">
        <v>2</v>
      </c>
      <c r="F67" s="13" t="s">
        <v>72</v>
      </c>
      <c r="G67" s="12" t="n">
        <v>4</v>
      </c>
      <c r="H67" s="13" t="s">
        <v>72</v>
      </c>
      <c r="I67" s="12" t="n">
        <v>5</v>
      </c>
      <c r="J67" s="13" t="s">
        <v>72</v>
      </c>
      <c r="K67" s="12"/>
      <c r="L67" s="12" t="n">
        <v>1</v>
      </c>
      <c r="M67" s="13" t="s">
        <v>89</v>
      </c>
      <c r="N67" s="12" t="n">
        <v>3</v>
      </c>
      <c r="O67" s="13" t="s">
        <v>72</v>
      </c>
    </row>
    <row r="68" customFormat="false" ht="15" hidden="false" customHeight="true" outlineLevel="0" collapsed="false">
      <c r="A68" s="12" t="n">
        <v>67</v>
      </c>
      <c r="B68" s="13" t="s">
        <v>169</v>
      </c>
      <c r="C68" s="13" t="s">
        <v>164</v>
      </c>
      <c r="D68" s="13" t="s">
        <v>81</v>
      </c>
      <c r="E68" s="12" t="n">
        <v>2</v>
      </c>
      <c r="F68" s="13" t="s">
        <v>72</v>
      </c>
      <c r="G68" s="12" t="n">
        <v>4</v>
      </c>
      <c r="H68" s="13" t="s">
        <v>72</v>
      </c>
      <c r="I68" s="12" t="n">
        <v>5</v>
      </c>
      <c r="J68" s="13" t="s">
        <v>72</v>
      </c>
      <c r="K68" s="12"/>
      <c r="L68" s="12" t="n">
        <v>1</v>
      </c>
      <c r="M68" s="13" t="s">
        <v>86</v>
      </c>
      <c r="N68" s="12" t="n">
        <v>3</v>
      </c>
      <c r="O68" s="13" t="s">
        <v>72</v>
      </c>
    </row>
    <row r="69" customFormat="false" ht="23.25" hidden="false" customHeight="true" outlineLevel="0" collapsed="false">
      <c r="A69" s="12" t="n">
        <v>68</v>
      </c>
      <c r="B69" s="13" t="s">
        <v>170</v>
      </c>
      <c r="C69" s="13" t="s">
        <v>164</v>
      </c>
      <c r="D69" s="13" t="s">
        <v>74</v>
      </c>
      <c r="E69" s="12" t="n">
        <v>3</v>
      </c>
      <c r="F69" s="13" t="s">
        <v>89</v>
      </c>
      <c r="G69" s="12" t="n">
        <v>2</v>
      </c>
      <c r="H69" s="13" t="s">
        <v>89</v>
      </c>
      <c r="I69" s="14" t="n">
        <v>5</v>
      </c>
      <c r="J69" s="15" t="s">
        <v>89</v>
      </c>
      <c r="K69" s="14" t="s">
        <v>82</v>
      </c>
      <c r="L69" s="12" t="n">
        <v>4</v>
      </c>
      <c r="M69" s="13" t="s">
        <v>89</v>
      </c>
      <c r="N69" s="12" t="n">
        <v>1</v>
      </c>
      <c r="O69" s="13" t="s">
        <v>89</v>
      </c>
    </row>
    <row r="70" customFormat="false" ht="23.25" hidden="false" customHeight="true" outlineLevel="0" collapsed="false">
      <c r="A70" s="12" t="n">
        <v>69</v>
      </c>
      <c r="B70" s="13" t="s">
        <v>171</v>
      </c>
      <c r="C70" s="13" t="s">
        <v>164</v>
      </c>
      <c r="D70" s="13" t="s">
        <v>74</v>
      </c>
      <c r="E70" s="12" t="n">
        <v>4</v>
      </c>
      <c r="F70" s="13" t="s">
        <v>89</v>
      </c>
      <c r="G70" s="12" t="n">
        <v>2</v>
      </c>
      <c r="H70" s="13" t="s">
        <v>89</v>
      </c>
      <c r="I70" s="14" t="n">
        <v>3</v>
      </c>
      <c r="J70" s="15" t="s">
        <v>89</v>
      </c>
      <c r="K70" s="14" t="s">
        <v>105</v>
      </c>
      <c r="L70" s="12" t="n">
        <v>5</v>
      </c>
      <c r="M70" s="13" t="s">
        <v>89</v>
      </c>
      <c r="N70" s="12" t="n">
        <v>1</v>
      </c>
      <c r="O70" s="13" t="s">
        <v>89</v>
      </c>
    </row>
    <row r="71" customFormat="false" ht="15" hidden="false" customHeight="true" outlineLevel="0" collapsed="false">
      <c r="A71" s="12" t="n">
        <v>70</v>
      </c>
      <c r="B71" s="13" t="s">
        <v>172</v>
      </c>
      <c r="C71" s="13" t="s">
        <v>164</v>
      </c>
      <c r="D71" s="13" t="s">
        <v>74</v>
      </c>
      <c r="E71" s="12" t="n">
        <v>1</v>
      </c>
      <c r="F71" s="13" t="s">
        <v>89</v>
      </c>
      <c r="G71" s="12" t="n">
        <v>5</v>
      </c>
      <c r="H71" s="13" t="s">
        <v>72</v>
      </c>
      <c r="I71" s="14" t="n">
        <v>2</v>
      </c>
      <c r="J71" s="15" t="s">
        <v>89</v>
      </c>
      <c r="K71" s="14" t="s">
        <v>82</v>
      </c>
      <c r="L71" s="12" t="n">
        <v>3</v>
      </c>
      <c r="M71" s="13" t="s">
        <v>72</v>
      </c>
      <c r="N71" s="12" t="n">
        <v>4</v>
      </c>
      <c r="O71" s="13" t="s">
        <v>72</v>
      </c>
    </row>
    <row r="72" customFormat="false" ht="15" hidden="false" customHeight="true" outlineLevel="0" collapsed="false">
      <c r="A72" s="12" t="n">
        <v>71</v>
      </c>
      <c r="B72" s="13" t="s">
        <v>173</v>
      </c>
      <c r="C72" s="13" t="s">
        <v>164</v>
      </c>
      <c r="D72" s="13" t="s">
        <v>74</v>
      </c>
      <c r="E72" s="12" t="n">
        <v>3</v>
      </c>
      <c r="F72" s="13" t="s">
        <v>72</v>
      </c>
      <c r="G72" s="12" t="n">
        <v>5</v>
      </c>
      <c r="H72" s="13" t="s">
        <v>72</v>
      </c>
      <c r="I72" s="14" t="n">
        <v>2</v>
      </c>
      <c r="J72" s="15" t="s">
        <v>89</v>
      </c>
      <c r="K72" s="14" t="s">
        <v>82</v>
      </c>
      <c r="L72" s="12" t="n">
        <v>1</v>
      </c>
      <c r="M72" s="13" t="s">
        <v>89</v>
      </c>
      <c r="N72" s="12" t="n">
        <v>4</v>
      </c>
      <c r="O72" s="13" t="s">
        <v>72</v>
      </c>
    </row>
    <row r="73" customFormat="false" ht="15" hidden="false" customHeight="true" outlineLevel="0" collapsed="false">
      <c r="A73" s="12" t="n">
        <v>72</v>
      </c>
      <c r="B73" s="13" t="s">
        <v>174</v>
      </c>
      <c r="C73" s="13" t="s">
        <v>164</v>
      </c>
      <c r="D73" s="13" t="s">
        <v>74</v>
      </c>
      <c r="E73" s="12" t="n">
        <v>2</v>
      </c>
      <c r="F73" s="13" t="s">
        <v>72</v>
      </c>
      <c r="G73" s="12" t="n">
        <v>4</v>
      </c>
      <c r="H73" s="13" t="s">
        <v>72</v>
      </c>
      <c r="I73" s="12" t="n">
        <v>5</v>
      </c>
      <c r="J73" s="13" t="s">
        <v>89</v>
      </c>
      <c r="K73" s="12"/>
      <c r="L73" s="12" t="n">
        <v>1</v>
      </c>
      <c r="M73" s="13" t="s">
        <v>89</v>
      </c>
      <c r="N73" s="12" t="n">
        <v>3</v>
      </c>
      <c r="O73" s="13" t="s">
        <v>72</v>
      </c>
    </row>
    <row r="74" customFormat="false" ht="15" hidden="false" customHeight="true" outlineLevel="0" collapsed="false">
      <c r="A74" s="12" t="n">
        <v>73</v>
      </c>
      <c r="B74" s="13" t="s">
        <v>175</v>
      </c>
      <c r="C74" s="13" t="s">
        <v>164</v>
      </c>
      <c r="D74" s="13" t="s">
        <v>74</v>
      </c>
      <c r="E74" s="12" t="n">
        <v>3</v>
      </c>
      <c r="F74" s="13" t="s">
        <v>89</v>
      </c>
      <c r="G74" s="12" t="n">
        <v>2</v>
      </c>
      <c r="H74" s="13" t="s">
        <v>89</v>
      </c>
      <c r="I74" s="12" t="n">
        <v>5</v>
      </c>
      <c r="J74" s="13" t="s">
        <v>89</v>
      </c>
      <c r="K74" s="12"/>
      <c r="L74" s="12" t="n">
        <v>4</v>
      </c>
      <c r="M74" s="13" t="s">
        <v>89</v>
      </c>
      <c r="N74" s="12" t="n">
        <v>1</v>
      </c>
      <c r="O74" s="13" t="s">
        <v>89</v>
      </c>
    </row>
    <row r="75" customFormat="false" ht="23.25" hidden="false" customHeight="true" outlineLevel="0" collapsed="false">
      <c r="A75" s="12" t="n">
        <v>74</v>
      </c>
      <c r="B75" s="13" t="s">
        <v>176</v>
      </c>
      <c r="C75" s="13" t="s">
        <v>164</v>
      </c>
      <c r="D75" s="13" t="s">
        <v>78</v>
      </c>
      <c r="E75" s="12" t="n">
        <v>3</v>
      </c>
      <c r="F75" s="13" t="s">
        <v>89</v>
      </c>
      <c r="G75" s="12" t="n">
        <v>2</v>
      </c>
      <c r="H75" s="13" t="s">
        <v>89</v>
      </c>
      <c r="I75" s="14" t="n">
        <v>5</v>
      </c>
      <c r="J75" s="15" t="s">
        <v>89</v>
      </c>
      <c r="K75" s="14" t="s">
        <v>82</v>
      </c>
      <c r="L75" s="12" t="n">
        <v>4</v>
      </c>
      <c r="M75" s="13" t="s">
        <v>89</v>
      </c>
      <c r="N75" s="12" t="n">
        <v>1</v>
      </c>
      <c r="O75" s="13" t="s">
        <v>89</v>
      </c>
    </row>
    <row r="76" customFormat="false" ht="15" hidden="false" customHeight="true" outlineLevel="0" collapsed="false">
      <c r="A76" s="12" t="n">
        <v>75</v>
      </c>
      <c r="B76" s="13" t="s">
        <v>177</v>
      </c>
      <c r="C76" s="13" t="s">
        <v>164</v>
      </c>
      <c r="D76" s="13" t="s">
        <v>74</v>
      </c>
      <c r="E76" s="12" t="n">
        <v>1</v>
      </c>
      <c r="F76" s="13" t="s">
        <v>89</v>
      </c>
      <c r="G76" s="12" t="n">
        <v>5</v>
      </c>
      <c r="H76" s="13" t="s">
        <v>72</v>
      </c>
      <c r="I76" s="14" t="n">
        <v>2</v>
      </c>
      <c r="J76" s="15" t="s">
        <v>89</v>
      </c>
      <c r="K76" s="14" t="s">
        <v>82</v>
      </c>
      <c r="L76" s="12" t="n">
        <v>3</v>
      </c>
      <c r="M76" s="13" t="s">
        <v>72</v>
      </c>
      <c r="N76" s="12" t="n">
        <v>4</v>
      </c>
      <c r="O76" s="13" t="s">
        <v>72</v>
      </c>
    </row>
    <row r="77" customFormat="false" ht="15" hidden="false" customHeight="true" outlineLevel="0" collapsed="false">
      <c r="A77" s="12" t="n">
        <v>76</v>
      </c>
      <c r="B77" s="13" t="s">
        <v>178</v>
      </c>
      <c r="C77" s="13" t="s">
        <v>164</v>
      </c>
      <c r="D77" s="13" t="s">
        <v>74</v>
      </c>
      <c r="E77" s="12" t="n">
        <v>4</v>
      </c>
      <c r="F77" s="13" t="s">
        <v>86</v>
      </c>
      <c r="G77" s="12" t="n">
        <v>1</v>
      </c>
      <c r="H77" s="13" t="s">
        <v>86</v>
      </c>
      <c r="I77" s="14" t="n">
        <v>5</v>
      </c>
      <c r="J77" s="15" t="s">
        <v>89</v>
      </c>
      <c r="K77" s="14" t="s">
        <v>82</v>
      </c>
      <c r="L77" s="12" t="n">
        <v>2</v>
      </c>
      <c r="M77" s="13" t="s">
        <v>89</v>
      </c>
      <c r="N77" s="12" t="n">
        <v>3</v>
      </c>
      <c r="O77" s="13" t="s">
        <v>86</v>
      </c>
    </row>
    <row r="78" customFormat="false" ht="15" hidden="false" customHeight="true" outlineLevel="0" collapsed="false">
      <c r="A78" s="12" t="n">
        <v>77</v>
      </c>
      <c r="B78" s="13" t="s">
        <v>179</v>
      </c>
      <c r="C78" s="13" t="s">
        <v>180</v>
      </c>
      <c r="D78" s="13" t="s">
        <v>74</v>
      </c>
      <c r="E78" s="12" t="n">
        <v>3</v>
      </c>
      <c r="F78" s="13" t="s">
        <v>72</v>
      </c>
      <c r="G78" s="12" t="n">
        <v>4</v>
      </c>
      <c r="H78" s="13" t="s">
        <v>72</v>
      </c>
      <c r="I78" s="12" t="n">
        <v>5</v>
      </c>
      <c r="J78" s="13" t="s">
        <v>72</v>
      </c>
      <c r="K78" s="12"/>
      <c r="L78" s="12" t="n">
        <v>2</v>
      </c>
      <c r="M78" s="13" t="s">
        <v>72</v>
      </c>
      <c r="N78" s="12" t="n">
        <v>1</v>
      </c>
      <c r="O78" s="13" t="s">
        <v>128</v>
      </c>
    </row>
    <row r="79" customFormat="false" ht="15" hidden="false" customHeight="true" outlineLevel="0" collapsed="false">
      <c r="A79" s="12" t="n">
        <v>78</v>
      </c>
      <c r="B79" s="13" t="s">
        <v>181</v>
      </c>
      <c r="C79" s="13" t="s">
        <v>180</v>
      </c>
      <c r="D79" s="13" t="s">
        <v>74</v>
      </c>
      <c r="E79" s="12" t="n">
        <v>3</v>
      </c>
      <c r="F79" s="13" t="s">
        <v>72</v>
      </c>
      <c r="G79" s="12" t="n">
        <v>4</v>
      </c>
      <c r="H79" s="13" t="s">
        <v>72</v>
      </c>
      <c r="I79" s="12" t="n">
        <v>5</v>
      </c>
      <c r="J79" s="13" t="s">
        <v>72</v>
      </c>
      <c r="K79" s="12"/>
      <c r="L79" s="12" t="n">
        <v>2</v>
      </c>
      <c r="M79" s="13" t="s">
        <v>72</v>
      </c>
      <c r="N79" s="12" t="n">
        <v>1</v>
      </c>
      <c r="O79" s="13" t="s">
        <v>128</v>
      </c>
    </row>
    <row r="80" customFormat="false" ht="23.25" hidden="false" customHeight="true" outlineLevel="0" collapsed="false">
      <c r="A80" s="12" t="n">
        <v>79</v>
      </c>
      <c r="B80" s="13" t="s">
        <v>182</v>
      </c>
      <c r="C80" s="13" t="s">
        <v>183</v>
      </c>
      <c r="D80" s="13" t="s">
        <v>78</v>
      </c>
      <c r="E80" s="12" t="n">
        <v>3</v>
      </c>
      <c r="F80" s="13" t="s">
        <v>89</v>
      </c>
      <c r="G80" s="12" t="n">
        <v>2</v>
      </c>
      <c r="H80" s="13" t="s">
        <v>89</v>
      </c>
      <c r="I80" s="14" t="n">
        <v>5</v>
      </c>
      <c r="J80" s="15" t="s">
        <v>89</v>
      </c>
      <c r="K80" s="14" t="s">
        <v>82</v>
      </c>
      <c r="L80" s="12" t="n">
        <v>4</v>
      </c>
      <c r="M80" s="13" t="s">
        <v>89</v>
      </c>
      <c r="N80" s="12" t="n">
        <v>1</v>
      </c>
      <c r="O80" s="13" t="s">
        <v>89</v>
      </c>
    </row>
    <row r="81" customFormat="false" ht="23.25" hidden="false" customHeight="true" outlineLevel="0" collapsed="false">
      <c r="A81" s="12" t="n">
        <v>80</v>
      </c>
      <c r="B81" s="13" t="s">
        <v>184</v>
      </c>
      <c r="C81" s="13" t="s">
        <v>185</v>
      </c>
      <c r="D81" s="13" t="s">
        <v>81</v>
      </c>
      <c r="E81" s="12" t="n">
        <v>3</v>
      </c>
      <c r="F81" s="13" t="s">
        <v>89</v>
      </c>
      <c r="G81" s="12" t="n">
        <v>1</v>
      </c>
      <c r="H81" s="13" t="s">
        <v>89</v>
      </c>
      <c r="I81" s="14" t="n">
        <v>5</v>
      </c>
      <c r="J81" s="15" t="s">
        <v>89</v>
      </c>
      <c r="K81" s="14" t="s">
        <v>82</v>
      </c>
      <c r="L81" s="12" t="n">
        <v>2</v>
      </c>
      <c r="M81" s="13" t="s">
        <v>89</v>
      </c>
      <c r="N81" s="12" t="n">
        <v>4</v>
      </c>
      <c r="O81" s="13" t="s">
        <v>89</v>
      </c>
    </row>
    <row r="82" customFormat="false" ht="15" hidden="false" customHeight="true" outlineLevel="0" collapsed="false">
      <c r="A82" s="12" t="n">
        <v>81</v>
      </c>
      <c r="B82" s="13" t="s">
        <v>186</v>
      </c>
      <c r="C82" s="13" t="s">
        <v>185</v>
      </c>
      <c r="D82" s="13" t="s">
        <v>74</v>
      </c>
      <c r="E82" s="12" t="n">
        <v>1</v>
      </c>
      <c r="F82" s="13" t="s">
        <v>86</v>
      </c>
      <c r="G82" s="12" t="n">
        <v>4</v>
      </c>
      <c r="H82" s="13" t="s">
        <v>86</v>
      </c>
      <c r="I82" s="14" t="n">
        <v>5</v>
      </c>
      <c r="J82" s="15" t="s">
        <v>89</v>
      </c>
      <c r="K82" s="14" t="s">
        <v>82</v>
      </c>
      <c r="L82" s="12" t="n">
        <v>3</v>
      </c>
      <c r="M82" s="13" t="s">
        <v>89</v>
      </c>
      <c r="N82" s="12" t="n">
        <v>2</v>
      </c>
      <c r="O82" s="13" t="s">
        <v>86</v>
      </c>
    </row>
    <row r="83" customFormat="false" ht="15" hidden="false" customHeight="true" outlineLevel="0" collapsed="false">
      <c r="A83" s="12" t="n">
        <v>82</v>
      </c>
      <c r="B83" s="13" t="s">
        <v>187</v>
      </c>
      <c r="C83" s="13" t="s">
        <v>185</v>
      </c>
      <c r="D83" s="13" t="s">
        <v>74</v>
      </c>
      <c r="E83" s="12" t="n">
        <v>3</v>
      </c>
      <c r="F83" s="13" t="s">
        <v>89</v>
      </c>
      <c r="G83" s="12" t="n">
        <v>2</v>
      </c>
      <c r="H83" s="13" t="s">
        <v>89</v>
      </c>
      <c r="I83" s="14" t="n">
        <v>5</v>
      </c>
      <c r="J83" s="15" t="s">
        <v>89</v>
      </c>
      <c r="K83" s="14" t="s">
        <v>82</v>
      </c>
      <c r="L83" s="12" t="n">
        <v>4</v>
      </c>
      <c r="M83" s="13" t="s">
        <v>89</v>
      </c>
      <c r="N83" s="12" t="n">
        <v>1</v>
      </c>
      <c r="O83" s="13" t="s">
        <v>89</v>
      </c>
    </row>
    <row r="84" customFormat="false" ht="15" hidden="false" customHeight="true" outlineLevel="0" collapsed="false">
      <c r="A84" s="12" t="n">
        <v>83</v>
      </c>
      <c r="B84" s="13" t="s">
        <v>188</v>
      </c>
      <c r="C84" s="13" t="s">
        <v>189</v>
      </c>
      <c r="D84" s="13" t="s">
        <v>81</v>
      </c>
      <c r="E84" s="12" t="n">
        <v>4</v>
      </c>
      <c r="F84" s="13" t="s">
        <v>89</v>
      </c>
      <c r="G84" s="12" t="n">
        <v>1</v>
      </c>
      <c r="H84" s="13" t="s">
        <v>89</v>
      </c>
      <c r="I84" s="14" t="n">
        <v>5</v>
      </c>
      <c r="J84" s="15" t="s">
        <v>89</v>
      </c>
      <c r="K84" s="14" t="s">
        <v>82</v>
      </c>
      <c r="L84" s="12" t="n">
        <v>3</v>
      </c>
      <c r="M84" s="13" t="s">
        <v>89</v>
      </c>
      <c r="N84" s="12" t="n">
        <v>2</v>
      </c>
      <c r="O84" s="13" t="s">
        <v>89</v>
      </c>
    </row>
    <row r="85" customFormat="false" ht="15" hidden="false" customHeight="true" outlineLevel="0" collapsed="false">
      <c r="A85" s="12" t="n">
        <v>84</v>
      </c>
      <c r="B85" s="13" t="s">
        <v>190</v>
      </c>
      <c r="C85" s="13" t="s">
        <v>189</v>
      </c>
      <c r="D85" s="13" t="s">
        <v>74</v>
      </c>
      <c r="E85" s="12" t="n">
        <v>4</v>
      </c>
      <c r="F85" s="13" t="s">
        <v>89</v>
      </c>
      <c r="G85" s="12" t="n">
        <v>3</v>
      </c>
      <c r="H85" s="13" t="s">
        <v>89</v>
      </c>
      <c r="I85" s="14" t="n">
        <v>5</v>
      </c>
      <c r="J85" s="15" t="s">
        <v>89</v>
      </c>
      <c r="K85" s="14" t="s">
        <v>82</v>
      </c>
      <c r="L85" s="12" t="n">
        <v>2</v>
      </c>
      <c r="M85" s="13" t="s">
        <v>89</v>
      </c>
      <c r="N85" s="12" t="n">
        <v>1</v>
      </c>
      <c r="O85" s="13" t="s">
        <v>89</v>
      </c>
    </row>
    <row r="86" customFormat="false" ht="15" hidden="false" customHeight="true" outlineLevel="0" collapsed="false">
      <c r="A86" s="12" t="n">
        <v>85</v>
      </c>
      <c r="B86" s="13" t="s">
        <v>191</v>
      </c>
      <c r="C86" s="13" t="s">
        <v>189</v>
      </c>
      <c r="D86" s="13" t="s">
        <v>74</v>
      </c>
      <c r="E86" s="12" t="n">
        <v>3</v>
      </c>
      <c r="F86" s="13" t="s">
        <v>86</v>
      </c>
      <c r="G86" s="12" t="n">
        <v>4</v>
      </c>
      <c r="H86" s="13" t="s">
        <v>86</v>
      </c>
      <c r="I86" s="14" t="n">
        <v>5</v>
      </c>
      <c r="J86" s="15" t="s">
        <v>86</v>
      </c>
      <c r="K86" s="14" t="s">
        <v>82</v>
      </c>
      <c r="L86" s="12" t="n">
        <v>2</v>
      </c>
      <c r="M86" s="13" t="s">
        <v>86</v>
      </c>
      <c r="N86" s="12" t="n">
        <v>1</v>
      </c>
      <c r="O86" s="13" t="s">
        <v>86</v>
      </c>
    </row>
    <row r="87" customFormat="false" ht="23.25" hidden="false" customHeight="true" outlineLevel="0" collapsed="false">
      <c r="A87" s="12" t="n">
        <v>86</v>
      </c>
      <c r="B87" s="13" t="s">
        <v>192</v>
      </c>
      <c r="C87" s="13" t="s">
        <v>193</v>
      </c>
      <c r="D87" s="13" t="s">
        <v>81</v>
      </c>
      <c r="E87" s="12" t="n">
        <v>4</v>
      </c>
      <c r="F87" s="13" t="s">
        <v>89</v>
      </c>
      <c r="G87" s="12" t="n">
        <v>2</v>
      </c>
      <c r="H87" s="13" t="s">
        <v>89</v>
      </c>
      <c r="I87" s="14" t="n">
        <v>5</v>
      </c>
      <c r="J87" s="15" t="s">
        <v>89</v>
      </c>
      <c r="K87" s="14" t="s">
        <v>82</v>
      </c>
      <c r="L87" s="12" t="n">
        <v>3</v>
      </c>
      <c r="M87" s="13" t="s">
        <v>89</v>
      </c>
      <c r="N87" s="12" t="n">
        <v>1</v>
      </c>
      <c r="O87" s="13" t="s">
        <v>89</v>
      </c>
    </row>
    <row r="88" customFormat="false" ht="15" hidden="false" customHeight="true" outlineLevel="0" collapsed="false">
      <c r="A88" s="12" t="n">
        <v>87</v>
      </c>
      <c r="B88" s="13" t="s">
        <v>194</v>
      </c>
      <c r="C88" s="13" t="s">
        <v>195</v>
      </c>
      <c r="D88" s="13" t="s">
        <v>100</v>
      </c>
      <c r="E88" s="12" t="n">
        <v>1</v>
      </c>
      <c r="F88" s="13" t="s">
        <v>89</v>
      </c>
      <c r="G88" s="12" t="n">
        <v>4</v>
      </c>
      <c r="H88" s="13" t="s">
        <v>89</v>
      </c>
      <c r="I88" s="14" t="n">
        <v>5</v>
      </c>
      <c r="J88" s="15" t="s">
        <v>89</v>
      </c>
      <c r="K88" s="14" t="s">
        <v>105</v>
      </c>
      <c r="L88" s="12" t="n">
        <v>2</v>
      </c>
      <c r="M88" s="13" t="s">
        <v>89</v>
      </c>
      <c r="N88" s="12" t="n">
        <v>3</v>
      </c>
      <c r="O88" s="13" t="s">
        <v>89</v>
      </c>
    </row>
    <row r="89" customFormat="false" ht="15" hidden="false" customHeight="true" outlineLevel="0" collapsed="false">
      <c r="A89" s="12" t="n">
        <v>88</v>
      </c>
      <c r="B89" s="13" t="s">
        <v>196</v>
      </c>
      <c r="C89" s="13" t="s">
        <v>195</v>
      </c>
      <c r="D89" s="13" t="s">
        <v>81</v>
      </c>
      <c r="E89" s="12" t="n">
        <v>2</v>
      </c>
      <c r="F89" s="13" t="s">
        <v>86</v>
      </c>
      <c r="G89" s="12" t="n">
        <v>2</v>
      </c>
      <c r="H89" s="13" t="s">
        <v>86</v>
      </c>
      <c r="I89" s="12" t="n">
        <v>5</v>
      </c>
      <c r="J89" s="13" t="s">
        <v>72</v>
      </c>
      <c r="K89" s="12"/>
      <c r="L89" s="12" t="n">
        <v>1</v>
      </c>
      <c r="M89" s="13" t="s">
        <v>86</v>
      </c>
      <c r="N89" s="12" t="n">
        <v>3</v>
      </c>
      <c r="O89" s="13" t="s">
        <v>72</v>
      </c>
      <c r="P89" s="1" t="s">
        <v>82</v>
      </c>
    </row>
    <row r="90" customFormat="false" ht="15" hidden="false" customHeight="true" outlineLevel="0" collapsed="false">
      <c r="A90" s="12" t="n">
        <v>89</v>
      </c>
      <c r="B90" s="13" t="s">
        <v>197</v>
      </c>
      <c r="C90" s="13" t="s">
        <v>195</v>
      </c>
      <c r="D90" s="13" t="s">
        <v>81</v>
      </c>
      <c r="E90" s="12" t="n">
        <v>2</v>
      </c>
      <c r="F90" s="13" t="s">
        <v>86</v>
      </c>
      <c r="G90" s="12" t="n">
        <v>4</v>
      </c>
      <c r="H90" s="13" t="s">
        <v>72</v>
      </c>
      <c r="I90" s="12" t="n">
        <v>5</v>
      </c>
      <c r="J90" s="13" t="s">
        <v>72</v>
      </c>
      <c r="K90" s="12"/>
      <c r="L90" s="12" t="n">
        <v>1</v>
      </c>
      <c r="M90" s="13" t="s">
        <v>86</v>
      </c>
      <c r="N90" s="12" t="n">
        <v>3</v>
      </c>
      <c r="O90" s="13" t="s">
        <v>72</v>
      </c>
    </row>
    <row r="91" customFormat="false" ht="15" hidden="false" customHeight="true" outlineLevel="0" collapsed="false">
      <c r="A91" s="12" t="n">
        <v>90</v>
      </c>
      <c r="B91" s="13" t="s">
        <v>198</v>
      </c>
      <c r="C91" s="13" t="s">
        <v>195</v>
      </c>
      <c r="D91" s="13" t="s">
        <v>78</v>
      </c>
      <c r="E91" s="12" t="n">
        <v>1</v>
      </c>
      <c r="F91" s="13" t="s">
        <v>86</v>
      </c>
      <c r="G91" s="12" t="n">
        <v>3</v>
      </c>
      <c r="H91" s="13" t="s">
        <v>86</v>
      </c>
      <c r="I91" s="14" t="n">
        <v>4</v>
      </c>
      <c r="J91" s="15" t="s">
        <v>86</v>
      </c>
      <c r="K91" s="14" t="s">
        <v>82</v>
      </c>
      <c r="L91" s="12" t="n">
        <v>2</v>
      </c>
      <c r="M91" s="13" t="s">
        <v>86</v>
      </c>
      <c r="N91" s="12" t="n">
        <v>5</v>
      </c>
      <c r="O91" s="13" t="s">
        <v>72</v>
      </c>
    </row>
    <row r="92" customFormat="false" ht="15" hidden="false" customHeight="true" outlineLevel="0" collapsed="false">
      <c r="A92" s="12" t="n">
        <v>91</v>
      </c>
      <c r="B92" s="13" t="s">
        <v>199</v>
      </c>
      <c r="C92" s="13" t="s">
        <v>195</v>
      </c>
      <c r="D92" s="13" t="s">
        <v>78</v>
      </c>
      <c r="E92" s="12" t="n">
        <v>2</v>
      </c>
      <c r="F92" s="13" t="s">
        <v>86</v>
      </c>
      <c r="G92" s="12" t="n">
        <v>2</v>
      </c>
      <c r="H92" s="13" t="s">
        <v>86</v>
      </c>
      <c r="I92" s="12" t="n">
        <v>5</v>
      </c>
      <c r="J92" s="13" t="s">
        <v>86</v>
      </c>
      <c r="K92" s="12"/>
      <c r="L92" s="12" t="n">
        <v>1</v>
      </c>
      <c r="M92" s="13" t="s">
        <v>86</v>
      </c>
      <c r="N92" s="12" t="n">
        <v>3</v>
      </c>
      <c r="O92" s="13" t="s">
        <v>72</v>
      </c>
      <c r="P92" s="1" t="s">
        <v>82</v>
      </c>
    </row>
    <row r="93" customFormat="false" ht="15" hidden="false" customHeight="true" outlineLevel="0" collapsed="false">
      <c r="A93" s="12" t="n">
        <v>92</v>
      </c>
      <c r="B93" s="13" t="s">
        <v>200</v>
      </c>
      <c r="C93" s="13" t="s">
        <v>195</v>
      </c>
      <c r="D93" s="13" t="s">
        <v>78</v>
      </c>
      <c r="E93" s="12" t="n">
        <v>2</v>
      </c>
      <c r="F93" s="13" t="s">
        <v>86</v>
      </c>
      <c r="G93" s="12" t="n">
        <v>2</v>
      </c>
      <c r="H93" s="13" t="s">
        <v>86</v>
      </c>
      <c r="I93" s="12" t="n">
        <v>5</v>
      </c>
      <c r="J93" s="13" t="s">
        <v>86</v>
      </c>
      <c r="K93" s="12"/>
      <c r="L93" s="12" t="n">
        <v>1</v>
      </c>
      <c r="M93" s="13" t="s">
        <v>86</v>
      </c>
      <c r="N93" s="12" t="n">
        <v>3</v>
      </c>
      <c r="O93" s="13" t="s">
        <v>72</v>
      </c>
      <c r="P93" s="1" t="s">
        <v>82</v>
      </c>
    </row>
    <row r="94" customFormat="false" ht="15" hidden="false" customHeight="true" outlineLevel="0" collapsed="false">
      <c r="A94" s="12" t="n">
        <v>93</v>
      </c>
      <c r="B94" s="13" t="s">
        <v>201</v>
      </c>
      <c r="C94" s="13" t="s">
        <v>195</v>
      </c>
      <c r="D94" s="13" t="s">
        <v>81</v>
      </c>
      <c r="E94" s="12" t="n">
        <v>2</v>
      </c>
      <c r="F94" s="13" t="s">
        <v>86</v>
      </c>
      <c r="G94" s="12" t="n">
        <v>4</v>
      </c>
      <c r="H94" s="13" t="s">
        <v>72</v>
      </c>
      <c r="I94" s="12" t="n">
        <v>5</v>
      </c>
      <c r="J94" s="13" t="s">
        <v>72</v>
      </c>
      <c r="K94" s="12"/>
      <c r="L94" s="12" t="n">
        <v>1</v>
      </c>
      <c r="M94" s="13" t="s">
        <v>86</v>
      </c>
      <c r="N94" s="12" t="n">
        <v>3</v>
      </c>
      <c r="O94" s="13" t="s">
        <v>72</v>
      </c>
    </row>
    <row r="95" customFormat="false" ht="15" hidden="false" customHeight="true" outlineLevel="0" collapsed="false">
      <c r="A95" s="12" t="n">
        <v>94</v>
      </c>
      <c r="B95" s="13" t="s">
        <v>202</v>
      </c>
      <c r="C95" s="13" t="s">
        <v>195</v>
      </c>
      <c r="D95" s="13" t="s">
        <v>81</v>
      </c>
      <c r="E95" s="12" t="n">
        <v>2</v>
      </c>
      <c r="F95" s="13" t="s">
        <v>86</v>
      </c>
      <c r="G95" s="12" t="n">
        <v>2</v>
      </c>
      <c r="H95" s="13" t="s">
        <v>86</v>
      </c>
      <c r="I95" s="12" t="n">
        <v>5</v>
      </c>
      <c r="J95" s="13" t="s">
        <v>72</v>
      </c>
      <c r="K95" s="12"/>
      <c r="L95" s="12" t="n">
        <v>1</v>
      </c>
      <c r="M95" s="13" t="s">
        <v>86</v>
      </c>
      <c r="N95" s="12" t="n">
        <v>3</v>
      </c>
      <c r="O95" s="13" t="s">
        <v>72</v>
      </c>
      <c r="P95" s="1" t="s">
        <v>82</v>
      </c>
    </row>
    <row r="96" customFormat="false" ht="15" hidden="false" customHeight="true" outlineLevel="0" collapsed="false">
      <c r="A96" s="12" t="n">
        <v>95</v>
      </c>
      <c r="B96" s="13" t="s">
        <v>203</v>
      </c>
      <c r="C96" s="13" t="s">
        <v>195</v>
      </c>
      <c r="D96" s="13" t="s">
        <v>78</v>
      </c>
      <c r="E96" s="12" t="n">
        <v>2</v>
      </c>
      <c r="F96" s="13" t="s">
        <v>86</v>
      </c>
      <c r="G96" s="12" t="n">
        <v>2</v>
      </c>
      <c r="H96" s="13" t="s">
        <v>86</v>
      </c>
      <c r="I96" s="12" t="n">
        <v>5</v>
      </c>
      <c r="J96" s="13" t="s">
        <v>72</v>
      </c>
      <c r="K96" s="12"/>
      <c r="L96" s="12" t="n">
        <v>1</v>
      </c>
      <c r="M96" s="13" t="s">
        <v>86</v>
      </c>
      <c r="N96" s="12" t="n">
        <v>3</v>
      </c>
      <c r="O96" s="13" t="s">
        <v>72</v>
      </c>
      <c r="P96" s="1" t="s">
        <v>82</v>
      </c>
    </row>
    <row r="97" customFormat="false" ht="15" hidden="false" customHeight="true" outlineLevel="0" collapsed="false">
      <c r="A97" s="12" t="n">
        <v>96</v>
      </c>
      <c r="B97" s="13" t="s">
        <v>204</v>
      </c>
      <c r="C97" s="13" t="s">
        <v>195</v>
      </c>
      <c r="D97" s="13" t="s">
        <v>81</v>
      </c>
      <c r="E97" s="12" t="n">
        <v>1</v>
      </c>
      <c r="F97" s="13" t="s">
        <v>86</v>
      </c>
      <c r="G97" s="12" t="n">
        <v>4</v>
      </c>
      <c r="H97" s="13" t="s">
        <v>86</v>
      </c>
      <c r="I97" s="14" t="n">
        <v>3</v>
      </c>
      <c r="J97" s="15" t="s">
        <v>86</v>
      </c>
      <c r="K97" s="14" t="s">
        <v>82</v>
      </c>
      <c r="L97" s="12" t="n">
        <v>2</v>
      </c>
      <c r="M97" s="13" t="s">
        <v>86</v>
      </c>
      <c r="N97" s="12" t="n">
        <v>4</v>
      </c>
      <c r="O97" s="13" t="s">
        <v>72</v>
      </c>
      <c r="P97" s="1" t="s">
        <v>82</v>
      </c>
    </row>
    <row r="98" customFormat="false" ht="15" hidden="false" customHeight="true" outlineLevel="0" collapsed="false">
      <c r="A98" s="12" t="n">
        <v>97</v>
      </c>
      <c r="B98" s="13" t="s">
        <v>205</v>
      </c>
      <c r="C98" s="13" t="s">
        <v>195</v>
      </c>
      <c r="D98" s="13" t="s">
        <v>81</v>
      </c>
      <c r="E98" s="12" t="n">
        <v>2</v>
      </c>
      <c r="F98" s="13" t="s">
        <v>86</v>
      </c>
      <c r="G98" s="12" t="n">
        <v>2</v>
      </c>
      <c r="H98" s="13" t="s">
        <v>86</v>
      </c>
      <c r="I98" s="12" t="n">
        <v>5</v>
      </c>
      <c r="J98" s="13" t="s">
        <v>86</v>
      </c>
      <c r="K98" s="12"/>
      <c r="L98" s="12" t="n">
        <v>1</v>
      </c>
      <c r="M98" s="13" t="s">
        <v>86</v>
      </c>
      <c r="N98" s="12" t="n">
        <v>3</v>
      </c>
      <c r="O98" s="13" t="s">
        <v>72</v>
      </c>
      <c r="P98" s="1" t="s">
        <v>82</v>
      </c>
    </row>
    <row r="99" customFormat="false" ht="15" hidden="false" customHeight="true" outlineLevel="0" collapsed="false">
      <c r="A99" s="12" t="n">
        <v>98</v>
      </c>
      <c r="B99" s="13" t="s">
        <v>206</v>
      </c>
      <c r="C99" s="13" t="s">
        <v>195</v>
      </c>
      <c r="D99" s="13" t="s">
        <v>81</v>
      </c>
      <c r="E99" s="12" t="n">
        <v>2</v>
      </c>
      <c r="F99" s="13" t="s">
        <v>72</v>
      </c>
      <c r="G99" s="12" t="n">
        <v>2</v>
      </c>
      <c r="H99" s="13" t="s">
        <v>86</v>
      </c>
      <c r="I99" s="12" t="n">
        <v>5</v>
      </c>
      <c r="J99" s="13" t="s">
        <v>86</v>
      </c>
      <c r="K99" s="12"/>
      <c r="L99" s="12" t="n">
        <v>1</v>
      </c>
      <c r="M99" s="13" t="s">
        <v>86</v>
      </c>
      <c r="N99" s="12" t="n">
        <v>3</v>
      </c>
      <c r="O99" s="13" t="s">
        <v>72</v>
      </c>
      <c r="P99" s="1" t="s">
        <v>82</v>
      </c>
    </row>
    <row r="100" customFormat="false" ht="15" hidden="false" customHeight="true" outlineLevel="0" collapsed="false">
      <c r="A100" s="12" t="n">
        <v>99</v>
      </c>
      <c r="B100" s="13" t="s">
        <v>207</v>
      </c>
      <c r="C100" s="13" t="s">
        <v>195</v>
      </c>
      <c r="D100" s="13" t="s">
        <v>81</v>
      </c>
      <c r="E100" s="12" t="n">
        <v>2</v>
      </c>
      <c r="F100" s="13" t="s">
        <v>86</v>
      </c>
      <c r="G100" s="12" t="n">
        <v>4</v>
      </c>
      <c r="H100" s="13" t="s">
        <v>72</v>
      </c>
      <c r="I100" s="12" t="n">
        <v>5</v>
      </c>
      <c r="J100" s="13" t="s">
        <v>72</v>
      </c>
      <c r="K100" s="12"/>
      <c r="L100" s="12" t="n">
        <v>1</v>
      </c>
      <c r="M100" s="13" t="s">
        <v>86</v>
      </c>
      <c r="N100" s="12" t="n">
        <v>3</v>
      </c>
      <c r="O100" s="13" t="s">
        <v>72</v>
      </c>
    </row>
    <row r="101" customFormat="false" ht="15" hidden="false" customHeight="true" outlineLevel="0" collapsed="false">
      <c r="A101" s="12" t="n">
        <v>100</v>
      </c>
      <c r="B101" s="13" t="s">
        <v>208</v>
      </c>
      <c r="C101" s="13" t="s">
        <v>195</v>
      </c>
      <c r="D101" s="13" t="s">
        <v>81</v>
      </c>
      <c r="E101" s="12" t="n">
        <v>2</v>
      </c>
      <c r="F101" s="13" t="s">
        <v>86</v>
      </c>
      <c r="G101" s="12" t="n">
        <v>2</v>
      </c>
      <c r="H101" s="13" t="s">
        <v>86</v>
      </c>
      <c r="I101" s="12" t="n">
        <v>5</v>
      </c>
      <c r="J101" s="13" t="s">
        <v>72</v>
      </c>
      <c r="K101" s="12"/>
      <c r="L101" s="12" t="n">
        <v>1</v>
      </c>
      <c r="M101" s="13" t="s">
        <v>86</v>
      </c>
      <c r="N101" s="12" t="n">
        <v>3</v>
      </c>
      <c r="O101" s="13" t="s">
        <v>72</v>
      </c>
      <c r="P101" s="1" t="s">
        <v>82</v>
      </c>
    </row>
    <row r="102" customFormat="false" ht="15" hidden="false" customHeight="true" outlineLevel="0" collapsed="false">
      <c r="A102" s="12" t="n">
        <v>101</v>
      </c>
      <c r="B102" s="13" t="s">
        <v>209</v>
      </c>
      <c r="C102" s="13" t="s">
        <v>195</v>
      </c>
      <c r="D102" s="13" t="s">
        <v>81</v>
      </c>
      <c r="E102" s="12" t="n">
        <v>2</v>
      </c>
      <c r="F102" s="13" t="s">
        <v>86</v>
      </c>
      <c r="G102" s="12" t="n">
        <v>4</v>
      </c>
      <c r="H102" s="13" t="s">
        <v>72</v>
      </c>
      <c r="I102" s="12" t="n">
        <v>5</v>
      </c>
      <c r="J102" s="13" t="s">
        <v>72</v>
      </c>
      <c r="K102" s="12"/>
      <c r="L102" s="12" t="n">
        <v>1</v>
      </c>
      <c r="M102" s="13" t="s">
        <v>86</v>
      </c>
      <c r="N102" s="12" t="n">
        <v>3</v>
      </c>
      <c r="O102" s="13" t="s">
        <v>72</v>
      </c>
    </row>
    <row r="103" customFormat="false" ht="15" hidden="false" customHeight="true" outlineLevel="0" collapsed="false">
      <c r="A103" s="12" t="n">
        <v>102</v>
      </c>
      <c r="B103" s="13" t="s">
        <v>210</v>
      </c>
      <c r="C103" s="13" t="s">
        <v>195</v>
      </c>
      <c r="D103" s="13" t="s">
        <v>81</v>
      </c>
      <c r="E103" s="12" t="n">
        <v>2</v>
      </c>
      <c r="F103" s="13" t="s">
        <v>86</v>
      </c>
      <c r="G103" s="12" t="n">
        <v>2</v>
      </c>
      <c r="H103" s="13" t="s">
        <v>86</v>
      </c>
      <c r="I103" s="12" t="n">
        <v>5</v>
      </c>
      <c r="J103" s="13" t="s">
        <v>86</v>
      </c>
      <c r="K103" s="12"/>
      <c r="L103" s="12" t="n">
        <v>1</v>
      </c>
      <c r="M103" s="13" t="s">
        <v>86</v>
      </c>
      <c r="N103" s="12" t="n">
        <v>3</v>
      </c>
      <c r="O103" s="13" t="s">
        <v>72</v>
      </c>
      <c r="P103" s="1" t="s">
        <v>82</v>
      </c>
    </row>
    <row r="104" customFormat="false" ht="15" hidden="false" customHeight="true" outlineLevel="0" collapsed="false">
      <c r="A104" s="12" t="n">
        <v>103</v>
      </c>
      <c r="B104" s="13" t="s">
        <v>211</v>
      </c>
      <c r="C104" s="13" t="s">
        <v>195</v>
      </c>
      <c r="D104" s="13" t="s">
        <v>74</v>
      </c>
      <c r="E104" s="12" t="n">
        <v>2</v>
      </c>
      <c r="F104" s="13" t="s">
        <v>86</v>
      </c>
      <c r="G104" s="12" t="n">
        <v>4</v>
      </c>
      <c r="H104" s="13" t="s">
        <v>72</v>
      </c>
      <c r="I104" s="12" t="n">
        <v>5</v>
      </c>
      <c r="J104" s="13" t="s">
        <v>72</v>
      </c>
      <c r="K104" s="12"/>
      <c r="L104" s="12" t="n">
        <v>1</v>
      </c>
      <c r="M104" s="13" t="s">
        <v>86</v>
      </c>
      <c r="N104" s="12" t="n">
        <v>3</v>
      </c>
      <c r="O104" s="13" t="s">
        <v>72</v>
      </c>
    </row>
    <row r="105" customFormat="false" ht="15" hidden="false" customHeight="true" outlineLevel="0" collapsed="false">
      <c r="A105" s="12" t="n">
        <v>104</v>
      </c>
      <c r="B105" s="13" t="s">
        <v>212</v>
      </c>
      <c r="C105" s="13" t="s">
        <v>195</v>
      </c>
      <c r="D105" s="13" t="s">
        <v>78</v>
      </c>
      <c r="E105" s="12" t="n">
        <v>1</v>
      </c>
      <c r="F105" s="13" t="s">
        <v>86</v>
      </c>
      <c r="G105" s="12" t="n">
        <v>3</v>
      </c>
      <c r="H105" s="13" t="s">
        <v>86</v>
      </c>
      <c r="I105" s="12" t="n">
        <v>5</v>
      </c>
      <c r="J105" s="13" t="s">
        <v>86</v>
      </c>
      <c r="K105" s="12"/>
      <c r="L105" s="12" t="n">
        <v>2</v>
      </c>
      <c r="M105" s="13" t="s">
        <v>86</v>
      </c>
      <c r="N105" s="12" t="n">
        <v>3</v>
      </c>
      <c r="O105" s="13" t="s">
        <v>86</v>
      </c>
      <c r="P105" s="1" t="s">
        <v>82</v>
      </c>
    </row>
    <row r="106" customFormat="false" ht="15" hidden="false" customHeight="true" outlineLevel="0" collapsed="false">
      <c r="A106" s="12" t="n">
        <v>105</v>
      </c>
      <c r="B106" s="13" t="s">
        <v>213</v>
      </c>
      <c r="C106" s="13" t="s">
        <v>195</v>
      </c>
      <c r="D106" s="13" t="s">
        <v>81</v>
      </c>
      <c r="E106" s="12" t="n">
        <v>2</v>
      </c>
      <c r="F106" s="13" t="s">
        <v>86</v>
      </c>
      <c r="G106" s="12" t="n">
        <v>2</v>
      </c>
      <c r="H106" s="13" t="s">
        <v>86</v>
      </c>
      <c r="I106" s="12" t="n">
        <v>5</v>
      </c>
      <c r="J106" s="13" t="s">
        <v>72</v>
      </c>
      <c r="K106" s="12"/>
      <c r="L106" s="12" t="n">
        <v>1</v>
      </c>
      <c r="M106" s="13" t="s">
        <v>86</v>
      </c>
      <c r="N106" s="12" t="n">
        <v>3</v>
      </c>
      <c r="O106" s="13" t="s">
        <v>72</v>
      </c>
      <c r="P106" s="1" t="s">
        <v>82</v>
      </c>
    </row>
    <row r="107" customFormat="false" ht="15" hidden="false" customHeight="true" outlineLevel="0" collapsed="false">
      <c r="A107" s="12" t="n">
        <v>106</v>
      </c>
      <c r="B107" s="13" t="s">
        <v>214</v>
      </c>
      <c r="C107" s="13" t="s">
        <v>195</v>
      </c>
      <c r="D107" s="13" t="s">
        <v>74</v>
      </c>
      <c r="E107" s="12" t="n">
        <v>2</v>
      </c>
      <c r="F107" s="13" t="s">
        <v>86</v>
      </c>
      <c r="G107" s="12" t="n">
        <v>2</v>
      </c>
      <c r="H107" s="13" t="s">
        <v>86</v>
      </c>
      <c r="I107" s="12" t="n">
        <v>5</v>
      </c>
      <c r="J107" s="13" t="s">
        <v>86</v>
      </c>
      <c r="K107" s="12"/>
      <c r="L107" s="12" t="n">
        <v>1</v>
      </c>
      <c r="M107" s="13" t="s">
        <v>86</v>
      </c>
      <c r="N107" s="12" t="n">
        <v>3</v>
      </c>
      <c r="O107" s="13" t="s">
        <v>72</v>
      </c>
      <c r="P107" s="1" t="s">
        <v>82</v>
      </c>
    </row>
    <row r="108" customFormat="false" ht="15" hidden="false" customHeight="true" outlineLevel="0" collapsed="false">
      <c r="A108" s="12" t="n">
        <v>107</v>
      </c>
      <c r="B108" s="13" t="s">
        <v>215</v>
      </c>
      <c r="C108" s="13" t="s">
        <v>195</v>
      </c>
      <c r="D108" s="13" t="s">
        <v>74</v>
      </c>
      <c r="E108" s="12" t="n">
        <v>2</v>
      </c>
      <c r="F108" s="13" t="s">
        <v>86</v>
      </c>
      <c r="G108" s="12" t="n">
        <v>2</v>
      </c>
      <c r="H108" s="13" t="s">
        <v>86</v>
      </c>
      <c r="I108" s="12" t="n">
        <v>5</v>
      </c>
      <c r="J108" s="13" t="s">
        <v>86</v>
      </c>
      <c r="K108" s="12"/>
      <c r="L108" s="12" t="n">
        <v>1</v>
      </c>
      <c r="M108" s="13" t="s">
        <v>86</v>
      </c>
      <c r="N108" s="12" t="n">
        <v>3</v>
      </c>
      <c r="O108" s="13" t="s">
        <v>72</v>
      </c>
      <c r="P108" s="1" t="s">
        <v>82</v>
      </c>
    </row>
    <row r="109" customFormat="false" ht="15" hidden="false" customHeight="true" outlineLevel="0" collapsed="false">
      <c r="A109" s="12" t="n">
        <v>108</v>
      </c>
      <c r="B109" s="13" t="s">
        <v>216</v>
      </c>
      <c r="C109" s="13" t="s">
        <v>195</v>
      </c>
      <c r="D109" s="13" t="s">
        <v>74</v>
      </c>
      <c r="E109" s="12" t="n">
        <v>2</v>
      </c>
      <c r="F109" s="13" t="s">
        <v>72</v>
      </c>
      <c r="G109" s="12" t="n">
        <v>4</v>
      </c>
      <c r="H109" s="13" t="s">
        <v>72</v>
      </c>
      <c r="I109" s="12" t="n">
        <v>5</v>
      </c>
      <c r="J109" s="13" t="s">
        <v>72</v>
      </c>
      <c r="K109" s="12"/>
      <c r="L109" s="12" t="n">
        <v>1</v>
      </c>
      <c r="M109" s="13" t="s">
        <v>86</v>
      </c>
      <c r="N109" s="12" t="n">
        <v>3</v>
      </c>
      <c r="O109" s="13" t="s">
        <v>72</v>
      </c>
    </row>
    <row r="110" customFormat="false" ht="15" hidden="false" customHeight="true" outlineLevel="0" collapsed="false">
      <c r="A110" s="12" t="n">
        <v>109</v>
      </c>
      <c r="B110" s="13" t="s">
        <v>217</v>
      </c>
      <c r="C110" s="13" t="s">
        <v>195</v>
      </c>
      <c r="D110" s="13" t="s">
        <v>81</v>
      </c>
      <c r="E110" s="12" t="n">
        <v>1</v>
      </c>
      <c r="F110" s="13" t="s">
        <v>86</v>
      </c>
      <c r="G110" s="12" t="n">
        <v>4</v>
      </c>
      <c r="H110" s="13" t="s">
        <v>86</v>
      </c>
      <c r="I110" s="12" t="n">
        <v>5</v>
      </c>
      <c r="J110" s="13" t="s">
        <v>86</v>
      </c>
      <c r="K110" s="12"/>
      <c r="L110" s="12" t="n">
        <v>3</v>
      </c>
      <c r="M110" s="13" t="s">
        <v>86</v>
      </c>
      <c r="N110" s="12" t="n">
        <v>2</v>
      </c>
      <c r="O110" s="13" t="s">
        <v>86</v>
      </c>
    </row>
    <row r="111" customFormat="false" ht="15" hidden="false" customHeight="true" outlineLevel="0" collapsed="false">
      <c r="A111" s="12" t="n">
        <v>110</v>
      </c>
      <c r="B111" s="13" t="s">
        <v>218</v>
      </c>
      <c r="C111" s="13" t="s">
        <v>195</v>
      </c>
      <c r="D111" s="13" t="s">
        <v>74</v>
      </c>
      <c r="E111" s="12" t="n">
        <v>3</v>
      </c>
      <c r="F111" s="13" t="s">
        <v>72</v>
      </c>
      <c r="G111" s="12" t="n">
        <v>1</v>
      </c>
      <c r="H111" s="13" t="s">
        <v>70</v>
      </c>
      <c r="I111" s="12" t="n">
        <v>5</v>
      </c>
      <c r="J111" s="13" t="s">
        <v>72</v>
      </c>
      <c r="K111" s="12"/>
      <c r="L111" s="12" t="n">
        <v>2</v>
      </c>
      <c r="M111" s="13" t="s">
        <v>72</v>
      </c>
      <c r="N111" s="12" t="n">
        <v>4</v>
      </c>
      <c r="O111" s="13" t="s">
        <v>72</v>
      </c>
    </row>
    <row r="112" customFormat="false" ht="15" hidden="false" customHeight="true" outlineLevel="0" collapsed="false">
      <c r="A112" s="12" t="n">
        <v>111</v>
      </c>
      <c r="B112" s="13" t="s">
        <v>219</v>
      </c>
      <c r="C112" s="13" t="s">
        <v>195</v>
      </c>
      <c r="D112" s="13" t="s">
        <v>81</v>
      </c>
      <c r="E112" s="12" t="n">
        <v>2</v>
      </c>
      <c r="F112" s="13" t="s">
        <v>86</v>
      </c>
      <c r="G112" s="12" t="n">
        <v>4</v>
      </c>
      <c r="H112" s="13" t="s">
        <v>86</v>
      </c>
      <c r="I112" s="12" t="n">
        <v>5</v>
      </c>
      <c r="J112" s="13" t="s">
        <v>86</v>
      </c>
      <c r="K112" s="12"/>
      <c r="L112" s="12" t="n">
        <v>3</v>
      </c>
      <c r="M112" s="13" t="s">
        <v>86</v>
      </c>
      <c r="N112" s="12" t="n">
        <v>1</v>
      </c>
      <c r="O112" s="13" t="s">
        <v>86</v>
      </c>
    </row>
    <row r="113" customFormat="false" ht="15" hidden="false" customHeight="true" outlineLevel="0" collapsed="false">
      <c r="A113" s="12" t="n">
        <v>112</v>
      </c>
      <c r="B113" s="13" t="s">
        <v>220</v>
      </c>
      <c r="C113" s="13" t="s">
        <v>195</v>
      </c>
      <c r="D113" s="13" t="s">
        <v>81</v>
      </c>
      <c r="E113" s="12" t="n">
        <v>4</v>
      </c>
      <c r="F113" s="13" t="s">
        <v>86</v>
      </c>
      <c r="G113" s="12" t="n">
        <v>3</v>
      </c>
      <c r="H113" s="13" t="s">
        <v>86</v>
      </c>
      <c r="I113" s="12" t="n">
        <v>5</v>
      </c>
      <c r="J113" s="13" t="s">
        <v>86</v>
      </c>
      <c r="K113" s="12"/>
      <c r="L113" s="12" t="n">
        <v>2</v>
      </c>
      <c r="M113" s="13" t="s">
        <v>86</v>
      </c>
      <c r="N113" s="12" t="n">
        <v>1</v>
      </c>
      <c r="O113" s="13" t="s">
        <v>86</v>
      </c>
    </row>
    <row r="114" customFormat="false" ht="15" hidden="false" customHeight="true" outlineLevel="0" collapsed="false">
      <c r="A114" s="12" t="n">
        <v>113</v>
      </c>
      <c r="B114" s="13" t="s">
        <v>221</v>
      </c>
      <c r="C114" s="13" t="s">
        <v>195</v>
      </c>
      <c r="D114" s="13" t="s">
        <v>74</v>
      </c>
      <c r="E114" s="12" t="n">
        <v>2</v>
      </c>
      <c r="F114" s="13" t="s">
        <v>72</v>
      </c>
      <c r="G114" s="12" t="n">
        <v>4</v>
      </c>
      <c r="H114" s="13" t="s">
        <v>72</v>
      </c>
      <c r="I114" s="12" t="n">
        <v>5</v>
      </c>
      <c r="J114" s="13" t="s">
        <v>72</v>
      </c>
      <c r="K114" s="12"/>
      <c r="L114" s="12" t="n">
        <v>1</v>
      </c>
      <c r="M114" s="13" t="s">
        <v>86</v>
      </c>
      <c r="N114" s="12" t="n">
        <v>3</v>
      </c>
      <c r="O114" s="13" t="s">
        <v>72</v>
      </c>
    </row>
    <row r="115" customFormat="false" ht="23.25" hidden="false" customHeight="true" outlineLevel="0" collapsed="false">
      <c r="A115" s="12" t="n">
        <v>114</v>
      </c>
      <c r="B115" s="13" t="s">
        <v>222</v>
      </c>
      <c r="C115" s="13" t="s">
        <v>223</v>
      </c>
      <c r="D115" s="13" t="s">
        <v>71</v>
      </c>
      <c r="E115" s="12" t="n">
        <v>3</v>
      </c>
      <c r="F115" s="13" t="s">
        <v>72</v>
      </c>
      <c r="G115" s="12" t="n">
        <v>1</v>
      </c>
      <c r="H115" s="13" t="s">
        <v>70</v>
      </c>
      <c r="I115" s="12" t="n">
        <v>5</v>
      </c>
      <c r="J115" s="13" t="s">
        <v>72</v>
      </c>
      <c r="K115" s="12"/>
      <c r="L115" s="12" t="n">
        <v>2</v>
      </c>
      <c r="M115" s="13" t="s">
        <v>72</v>
      </c>
      <c r="N115" s="12" t="n">
        <v>4</v>
      </c>
      <c r="O115" s="13" t="s">
        <v>72</v>
      </c>
    </row>
    <row r="116" customFormat="false" ht="15" hidden="false" customHeight="true" outlineLevel="0" collapsed="false">
      <c r="A116" s="12" t="n">
        <v>115</v>
      </c>
      <c r="B116" s="13" t="s">
        <v>224</v>
      </c>
      <c r="C116" s="13" t="s">
        <v>225</v>
      </c>
      <c r="D116" s="13" t="s">
        <v>74</v>
      </c>
      <c r="E116" s="12" t="n">
        <v>3</v>
      </c>
      <c r="F116" s="13" t="s">
        <v>72</v>
      </c>
      <c r="G116" s="12" t="n">
        <v>1</v>
      </c>
      <c r="H116" s="13" t="s">
        <v>70</v>
      </c>
      <c r="I116" s="12" t="n">
        <v>5</v>
      </c>
      <c r="J116" s="13" t="s">
        <v>72</v>
      </c>
      <c r="K116" s="12"/>
      <c r="L116" s="12" t="n">
        <v>2</v>
      </c>
      <c r="M116" s="13" t="s">
        <v>72</v>
      </c>
      <c r="N116" s="12" t="n">
        <v>4</v>
      </c>
      <c r="O116" s="13" t="s">
        <v>72</v>
      </c>
    </row>
    <row r="117" customFormat="false" ht="15" hidden="false" customHeight="true" outlineLevel="0" collapsed="false">
      <c r="A117" s="12" t="n">
        <v>116</v>
      </c>
      <c r="B117" s="13" t="s">
        <v>226</v>
      </c>
      <c r="C117" s="13" t="s">
        <v>225</v>
      </c>
      <c r="D117" s="13" t="s">
        <v>81</v>
      </c>
      <c r="E117" s="12" t="n">
        <v>3</v>
      </c>
      <c r="F117" s="13" t="s">
        <v>72</v>
      </c>
      <c r="G117" s="12" t="n">
        <v>1</v>
      </c>
      <c r="H117" s="13" t="s">
        <v>70</v>
      </c>
      <c r="I117" s="12" t="n">
        <v>5</v>
      </c>
      <c r="J117" s="13" t="s">
        <v>72</v>
      </c>
      <c r="K117" s="12"/>
      <c r="L117" s="12" t="n">
        <v>2</v>
      </c>
      <c r="M117" s="13" t="s">
        <v>72</v>
      </c>
      <c r="N117" s="12" t="n">
        <v>4</v>
      </c>
      <c r="O117" s="13" t="s">
        <v>72</v>
      </c>
    </row>
    <row r="118" customFormat="false" ht="15" hidden="false" customHeight="true" outlineLevel="0" collapsed="false">
      <c r="A118" s="12" t="n">
        <v>117</v>
      </c>
      <c r="B118" s="13" t="s">
        <v>227</v>
      </c>
      <c r="C118" s="13" t="s">
        <v>225</v>
      </c>
      <c r="D118" s="13" t="s">
        <v>81</v>
      </c>
      <c r="E118" s="12" t="n">
        <v>3</v>
      </c>
      <c r="F118" s="13" t="s">
        <v>72</v>
      </c>
      <c r="G118" s="12" t="n">
        <v>1</v>
      </c>
      <c r="H118" s="13" t="s">
        <v>70</v>
      </c>
      <c r="I118" s="12" t="n">
        <v>5</v>
      </c>
      <c r="J118" s="13" t="s">
        <v>72</v>
      </c>
      <c r="K118" s="12"/>
      <c r="L118" s="12" t="n">
        <v>2</v>
      </c>
      <c r="M118" s="13" t="s">
        <v>72</v>
      </c>
      <c r="N118" s="12" t="n">
        <v>4</v>
      </c>
      <c r="O118" s="13" t="s">
        <v>72</v>
      </c>
    </row>
    <row r="119" customFormat="false" ht="15" hidden="false" customHeight="true" outlineLevel="0" collapsed="false">
      <c r="A119" s="12" t="n">
        <v>118</v>
      </c>
      <c r="B119" s="13" t="s">
        <v>228</v>
      </c>
      <c r="C119" s="13" t="s">
        <v>225</v>
      </c>
      <c r="D119" s="13" t="s">
        <v>81</v>
      </c>
      <c r="E119" s="12" t="n">
        <v>3</v>
      </c>
      <c r="F119" s="13" t="s">
        <v>72</v>
      </c>
      <c r="G119" s="12" t="n">
        <v>1</v>
      </c>
      <c r="H119" s="13" t="s">
        <v>70</v>
      </c>
      <c r="I119" s="12" t="n">
        <v>5</v>
      </c>
      <c r="J119" s="13" t="s">
        <v>72</v>
      </c>
      <c r="K119" s="12"/>
      <c r="L119" s="12" t="n">
        <v>2</v>
      </c>
      <c r="M119" s="13" t="s">
        <v>72</v>
      </c>
      <c r="N119" s="12" t="n">
        <v>4</v>
      </c>
      <c r="O119" s="13" t="s">
        <v>72</v>
      </c>
    </row>
    <row r="120" customFormat="false" ht="15" hidden="false" customHeight="true" outlineLevel="0" collapsed="false">
      <c r="A120" s="12" t="n">
        <v>119</v>
      </c>
      <c r="B120" s="13" t="s">
        <v>229</v>
      </c>
      <c r="C120" s="13" t="s">
        <v>230</v>
      </c>
      <c r="D120" s="13" t="s">
        <v>81</v>
      </c>
      <c r="E120" s="12" t="n">
        <v>2</v>
      </c>
      <c r="F120" s="13" t="s">
        <v>72</v>
      </c>
      <c r="G120" s="12" t="n">
        <v>4</v>
      </c>
      <c r="H120" s="13" t="s">
        <v>72</v>
      </c>
      <c r="I120" s="12" t="n">
        <v>5</v>
      </c>
      <c r="J120" s="13" t="s">
        <v>72</v>
      </c>
      <c r="K120" s="12"/>
      <c r="L120" s="12" t="n">
        <v>1</v>
      </c>
      <c r="M120" s="13" t="s">
        <v>86</v>
      </c>
      <c r="N120" s="12" t="n">
        <v>3</v>
      </c>
      <c r="O120" s="13" t="s">
        <v>72</v>
      </c>
    </row>
    <row r="121" customFormat="false" ht="15" hidden="false" customHeight="true" outlineLevel="0" collapsed="false">
      <c r="A121" s="12" t="n">
        <v>120</v>
      </c>
      <c r="B121" s="13" t="s">
        <v>231</v>
      </c>
      <c r="C121" s="13" t="s">
        <v>232</v>
      </c>
      <c r="D121" s="13" t="s">
        <v>81</v>
      </c>
      <c r="E121" s="12" t="n">
        <v>2</v>
      </c>
      <c r="F121" s="13" t="s">
        <v>89</v>
      </c>
      <c r="G121" s="12" t="n">
        <v>4</v>
      </c>
      <c r="H121" s="13" t="s">
        <v>89</v>
      </c>
      <c r="I121" s="14" t="n">
        <v>5</v>
      </c>
      <c r="J121" s="15" t="s">
        <v>89</v>
      </c>
      <c r="K121" s="14" t="s">
        <v>105</v>
      </c>
      <c r="L121" s="12" t="n">
        <v>1</v>
      </c>
      <c r="M121" s="13" t="s">
        <v>89</v>
      </c>
      <c r="N121" s="12" t="n">
        <v>3</v>
      </c>
      <c r="O121" s="13" t="s">
        <v>89</v>
      </c>
    </row>
    <row r="122" customFormat="false" ht="15" hidden="false" customHeight="true" outlineLevel="0" collapsed="false">
      <c r="A122" s="12" t="n">
        <v>121</v>
      </c>
      <c r="B122" s="13" t="s">
        <v>233</v>
      </c>
      <c r="C122" s="13" t="s">
        <v>234</v>
      </c>
      <c r="D122" s="13" t="s">
        <v>81</v>
      </c>
      <c r="E122" s="12" t="n">
        <v>2</v>
      </c>
      <c r="F122" s="13" t="s">
        <v>72</v>
      </c>
      <c r="G122" s="12" t="n">
        <v>4</v>
      </c>
      <c r="H122" s="13" t="s">
        <v>72</v>
      </c>
      <c r="I122" s="12" t="n">
        <v>5</v>
      </c>
      <c r="J122" s="13" t="s">
        <v>72</v>
      </c>
      <c r="K122" s="12"/>
      <c r="L122" s="12" t="n">
        <v>1</v>
      </c>
      <c r="M122" s="13" t="s">
        <v>89</v>
      </c>
      <c r="N122" s="12" t="n">
        <v>3</v>
      </c>
      <c r="O122" s="13" t="s">
        <v>72</v>
      </c>
    </row>
    <row r="123" customFormat="false" ht="15" hidden="false" customHeight="true" outlineLevel="0" collapsed="false">
      <c r="A123" s="12" t="n">
        <v>122</v>
      </c>
      <c r="B123" s="13" t="s">
        <v>235</v>
      </c>
      <c r="C123" s="13" t="s">
        <v>234</v>
      </c>
      <c r="D123" s="13" t="s">
        <v>81</v>
      </c>
      <c r="E123" s="12" t="n">
        <v>3</v>
      </c>
      <c r="F123" s="13" t="s">
        <v>72</v>
      </c>
      <c r="G123" s="12" t="n">
        <v>1</v>
      </c>
      <c r="H123" s="13" t="s">
        <v>89</v>
      </c>
      <c r="I123" s="12" t="n">
        <v>5</v>
      </c>
      <c r="J123" s="13" t="s">
        <v>72</v>
      </c>
      <c r="K123" s="12"/>
      <c r="L123" s="12" t="n">
        <v>2</v>
      </c>
      <c r="M123" s="13" t="s">
        <v>72</v>
      </c>
      <c r="N123" s="12" t="n">
        <v>4</v>
      </c>
      <c r="O123" s="13" t="s">
        <v>72</v>
      </c>
    </row>
    <row r="124" customFormat="false" ht="15" hidden="false" customHeight="true" outlineLevel="0" collapsed="false">
      <c r="A124" s="12" t="n">
        <v>123</v>
      </c>
      <c r="B124" s="13" t="s">
        <v>236</v>
      </c>
      <c r="C124" s="13" t="s">
        <v>234</v>
      </c>
      <c r="D124" s="13" t="s">
        <v>81</v>
      </c>
      <c r="E124" s="12" t="n">
        <v>2</v>
      </c>
      <c r="F124" s="13" t="s">
        <v>89</v>
      </c>
      <c r="G124" s="12" t="n">
        <v>5</v>
      </c>
      <c r="H124" s="13" t="s">
        <v>72</v>
      </c>
      <c r="I124" s="14" t="n">
        <v>4</v>
      </c>
      <c r="J124" s="15" t="s">
        <v>89</v>
      </c>
      <c r="K124" s="14" t="s">
        <v>82</v>
      </c>
      <c r="L124" s="12" t="n">
        <v>3</v>
      </c>
      <c r="M124" s="13" t="s">
        <v>89</v>
      </c>
      <c r="N124" s="12" t="n">
        <v>1</v>
      </c>
      <c r="O124" s="13" t="s">
        <v>89</v>
      </c>
    </row>
    <row r="125" customFormat="false" ht="15" hidden="false" customHeight="true" outlineLevel="0" collapsed="false">
      <c r="A125" s="12" t="n">
        <v>124</v>
      </c>
      <c r="B125" s="13" t="s">
        <v>237</v>
      </c>
      <c r="C125" s="13" t="s">
        <v>238</v>
      </c>
      <c r="D125" s="13" t="s">
        <v>74</v>
      </c>
      <c r="E125" s="12" t="n">
        <v>3</v>
      </c>
      <c r="F125" s="13" t="s">
        <v>72</v>
      </c>
      <c r="G125" s="12" t="n">
        <v>4</v>
      </c>
      <c r="H125" s="13" t="s">
        <v>72</v>
      </c>
      <c r="I125" s="12" t="n">
        <v>5</v>
      </c>
      <c r="J125" s="13" t="s">
        <v>72</v>
      </c>
      <c r="K125" s="12"/>
      <c r="L125" s="12" t="n">
        <v>2</v>
      </c>
      <c r="M125" s="13" t="s">
        <v>72</v>
      </c>
      <c r="N125" s="12" t="n">
        <v>1</v>
      </c>
      <c r="O125" s="13" t="s">
        <v>128</v>
      </c>
    </row>
    <row r="126" customFormat="false" ht="15" hidden="false" customHeight="true" outlineLevel="0" collapsed="false">
      <c r="A126" s="12" t="n">
        <v>125</v>
      </c>
      <c r="B126" s="13" t="s">
        <v>239</v>
      </c>
      <c r="C126" s="13" t="s">
        <v>240</v>
      </c>
      <c r="D126" s="13" t="s">
        <v>81</v>
      </c>
      <c r="E126" s="12" t="n">
        <v>3</v>
      </c>
      <c r="F126" s="13" t="s">
        <v>86</v>
      </c>
      <c r="G126" s="12" t="n">
        <v>4</v>
      </c>
      <c r="H126" s="13" t="s">
        <v>86</v>
      </c>
      <c r="I126" s="14" t="n">
        <v>5</v>
      </c>
      <c r="J126" s="15" t="s">
        <v>86</v>
      </c>
      <c r="K126" s="14" t="s">
        <v>82</v>
      </c>
      <c r="L126" s="12" t="n">
        <v>2</v>
      </c>
      <c r="M126" s="13" t="s">
        <v>86</v>
      </c>
      <c r="N126" s="12" t="n">
        <v>1</v>
      </c>
      <c r="O126" s="13" t="s">
        <v>86</v>
      </c>
    </row>
    <row r="127" customFormat="false" ht="15" hidden="false" customHeight="true" outlineLevel="0" collapsed="false">
      <c r="A127" s="12" t="n">
        <v>126</v>
      </c>
      <c r="B127" s="13" t="s">
        <v>241</v>
      </c>
      <c r="C127" s="13" t="s">
        <v>240</v>
      </c>
      <c r="D127" s="13" t="s">
        <v>74</v>
      </c>
      <c r="E127" s="12" t="n">
        <v>1</v>
      </c>
      <c r="F127" s="13" t="s">
        <v>89</v>
      </c>
      <c r="G127" s="12" t="n">
        <v>4</v>
      </c>
      <c r="H127" s="13" t="s">
        <v>89</v>
      </c>
      <c r="I127" s="14" t="n">
        <v>5</v>
      </c>
      <c r="J127" s="15" t="s">
        <v>89</v>
      </c>
      <c r="K127" s="14" t="s">
        <v>82</v>
      </c>
      <c r="L127" s="12" t="n">
        <v>2</v>
      </c>
      <c r="M127" s="13" t="s">
        <v>89</v>
      </c>
      <c r="N127" s="12" t="n">
        <v>3</v>
      </c>
      <c r="O127" s="13" t="s">
        <v>89</v>
      </c>
    </row>
    <row r="128" customFormat="false" ht="15" hidden="false" customHeight="true" outlineLevel="0" collapsed="false">
      <c r="A128" s="12" t="n">
        <v>127</v>
      </c>
      <c r="B128" s="13" t="s">
        <v>242</v>
      </c>
      <c r="C128" s="13" t="s">
        <v>243</v>
      </c>
      <c r="D128" s="13" t="s">
        <v>81</v>
      </c>
      <c r="E128" s="12" t="n">
        <v>4</v>
      </c>
      <c r="F128" s="13" t="s">
        <v>89</v>
      </c>
      <c r="G128" s="12" t="n">
        <v>1</v>
      </c>
      <c r="H128" s="13" t="s">
        <v>89</v>
      </c>
      <c r="I128" s="14" t="n">
        <v>5</v>
      </c>
      <c r="J128" s="15" t="s">
        <v>89</v>
      </c>
      <c r="K128" s="14" t="s">
        <v>82</v>
      </c>
      <c r="L128" s="12" t="n">
        <v>3</v>
      </c>
      <c r="M128" s="13" t="s">
        <v>89</v>
      </c>
      <c r="N128" s="12" t="n">
        <v>2</v>
      </c>
      <c r="O128" s="13" t="s">
        <v>89</v>
      </c>
    </row>
    <row r="129" customFormat="false" ht="15" hidden="false" customHeight="true" outlineLevel="0" collapsed="false">
      <c r="A129" s="12" t="n">
        <v>128</v>
      </c>
      <c r="B129" s="13" t="s">
        <v>244</v>
      </c>
      <c r="C129" s="13" t="s">
        <v>243</v>
      </c>
      <c r="D129" s="13" t="s">
        <v>81</v>
      </c>
      <c r="E129" s="12" t="n">
        <v>4</v>
      </c>
      <c r="F129" s="13" t="s">
        <v>89</v>
      </c>
      <c r="G129" s="12" t="n">
        <v>2</v>
      </c>
      <c r="H129" s="13" t="s">
        <v>89</v>
      </c>
      <c r="I129" s="14" t="n">
        <v>5</v>
      </c>
      <c r="J129" s="15" t="s">
        <v>89</v>
      </c>
      <c r="K129" s="14" t="s">
        <v>82</v>
      </c>
      <c r="L129" s="12" t="n">
        <v>3</v>
      </c>
      <c r="M129" s="13" t="s">
        <v>89</v>
      </c>
      <c r="N129" s="12" t="n">
        <v>1</v>
      </c>
      <c r="O129" s="13" t="s">
        <v>89</v>
      </c>
    </row>
    <row r="130" customFormat="false" ht="23.25" hidden="false" customHeight="true" outlineLevel="0" collapsed="false">
      <c r="A130" s="12" t="n">
        <v>129</v>
      </c>
      <c r="B130" s="13" t="s">
        <v>245</v>
      </c>
      <c r="C130" s="13" t="s">
        <v>243</v>
      </c>
      <c r="D130" s="13" t="s">
        <v>81</v>
      </c>
      <c r="E130" s="12" t="n">
        <v>4</v>
      </c>
      <c r="F130" s="13" t="s">
        <v>86</v>
      </c>
      <c r="G130" s="12" t="n">
        <v>1</v>
      </c>
      <c r="H130" s="13" t="s">
        <v>86</v>
      </c>
      <c r="I130" s="14" t="n">
        <v>5</v>
      </c>
      <c r="J130" s="15" t="s">
        <v>86</v>
      </c>
      <c r="K130" s="14" t="s">
        <v>82</v>
      </c>
      <c r="L130" s="12" t="n">
        <v>3</v>
      </c>
      <c r="M130" s="13" t="s">
        <v>86</v>
      </c>
      <c r="N130" s="12" t="n">
        <v>2</v>
      </c>
      <c r="O130" s="13" t="s">
        <v>86</v>
      </c>
    </row>
    <row r="131" customFormat="false" ht="15" hidden="false" customHeight="true" outlineLevel="0" collapsed="false">
      <c r="A131" s="12" t="n">
        <v>130</v>
      </c>
      <c r="B131" s="13" t="s">
        <v>246</v>
      </c>
      <c r="C131" s="13" t="s">
        <v>243</v>
      </c>
      <c r="D131" s="13" t="s">
        <v>74</v>
      </c>
      <c r="E131" s="12" t="n">
        <v>4</v>
      </c>
      <c r="F131" s="13" t="s">
        <v>86</v>
      </c>
      <c r="G131" s="12" t="n">
        <v>1</v>
      </c>
      <c r="H131" s="13" t="s">
        <v>86</v>
      </c>
      <c r="I131" s="14" t="n">
        <v>5</v>
      </c>
      <c r="J131" s="15" t="s">
        <v>86</v>
      </c>
      <c r="K131" s="14" t="s">
        <v>82</v>
      </c>
      <c r="L131" s="12" t="n">
        <v>3</v>
      </c>
      <c r="M131" s="13" t="s">
        <v>86</v>
      </c>
      <c r="N131" s="12" t="n">
        <v>2</v>
      </c>
      <c r="O131" s="13" t="s">
        <v>86</v>
      </c>
    </row>
    <row r="132" customFormat="false" ht="15" hidden="false" customHeight="true" outlineLevel="0" collapsed="false">
      <c r="A132" s="12" t="n">
        <v>131</v>
      </c>
      <c r="B132" s="13" t="s">
        <v>247</v>
      </c>
      <c r="C132" s="13" t="s">
        <v>248</v>
      </c>
      <c r="D132" s="13" t="s">
        <v>74</v>
      </c>
      <c r="E132" s="12" t="n">
        <v>4</v>
      </c>
      <c r="F132" s="13" t="s">
        <v>89</v>
      </c>
      <c r="G132" s="12" t="n">
        <v>2</v>
      </c>
      <c r="H132" s="13" t="s">
        <v>89</v>
      </c>
      <c r="I132" s="14" t="n">
        <v>5</v>
      </c>
      <c r="J132" s="15" t="s">
        <v>89</v>
      </c>
      <c r="K132" s="14" t="s">
        <v>82</v>
      </c>
      <c r="L132" s="12" t="n">
        <v>3</v>
      </c>
      <c r="M132" s="13" t="s">
        <v>89</v>
      </c>
      <c r="N132" s="12" t="n">
        <v>1</v>
      </c>
      <c r="O132" s="13" t="s">
        <v>89</v>
      </c>
    </row>
    <row r="133" customFormat="false" ht="15" hidden="false" customHeight="true" outlineLevel="0" collapsed="false">
      <c r="A133" s="12" t="n">
        <v>132</v>
      </c>
      <c r="B133" s="13" t="s">
        <v>249</v>
      </c>
      <c r="C133" s="13" t="s">
        <v>250</v>
      </c>
      <c r="D133" s="13" t="s">
        <v>74</v>
      </c>
      <c r="E133" s="12" t="n">
        <v>2</v>
      </c>
      <c r="F133" s="13" t="s">
        <v>72</v>
      </c>
      <c r="G133" s="12" t="n">
        <v>4</v>
      </c>
      <c r="H133" s="13" t="s">
        <v>72</v>
      </c>
      <c r="I133" s="12" t="n">
        <v>5</v>
      </c>
      <c r="J133" s="13" t="s">
        <v>72</v>
      </c>
      <c r="K133" s="12"/>
      <c r="L133" s="12" t="n">
        <v>1</v>
      </c>
      <c r="M133" s="13" t="s">
        <v>70</v>
      </c>
      <c r="N133" s="12" t="n">
        <v>3</v>
      </c>
      <c r="O133" s="13" t="s">
        <v>72</v>
      </c>
    </row>
    <row r="134" customFormat="false" ht="15" hidden="false" customHeight="true" outlineLevel="0" collapsed="false">
      <c r="A134" s="12" t="n">
        <v>133</v>
      </c>
      <c r="B134" s="13" t="s">
        <v>251</v>
      </c>
      <c r="C134" s="13" t="s">
        <v>250</v>
      </c>
      <c r="D134" s="13" t="s">
        <v>81</v>
      </c>
      <c r="E134" s="12" t="n">
        <v>4</v>
      </c>
      <c r="F134" s="13" t="s">
        <v>89</v>
      </c>
      <c r="G134" s="12" t="n">
        <v>2</v>
      </c>
      <c r="H134" s="13" t="s">
        <v>89</v>
      </c>
      <c r="I134" s="14" t="n">
        <v>5</v>
      </c>
      <c r="J134" s="15" t="s">
        <v>89</v>
      </c>
      <c r="K134" s="14" t="s">
        <v>82</v>
      </c>
      <c r="L134" s="12" t="n">
        <v>3</v>
      </c>
      <c r="M134" s="13" t="s">
        <v>89</v>
      </c>
      <c r="N134" s="12" t="n">
        <v>1</v>
      </c>
      <c r="O134" s="13" t="s">
        <v>89</v>
      </c>
    </row>
    <row r="135" customFormat="false" ht="15" hidden="false" customHeight="true" outlineLevel="0" collapsed="false">
      <c r="A135" s="12" t="n">
        <v>134</v>
      </c>
      <c r="B135" s="13" t="s">
        <v>252</v>
      </c>
      <c r="C135" s="13" t="s">
        <v>253</v>
      </c>
      <c r="D135" s="13" t="s">
        <v>74</v>
      </c>
      <c r="E135" s="12" t="n">
        <v>1</v>
      </c>
      <c r="F135" s="13" t="s">
        <v>89</v>
      </c>
      <c r="G135" s="12" t="n">
        <v>2</v>
      </c>
      <c r="H135" s="13" t="s">
        <v>89</v>
      </c>
      <c r="I135" s="14" t="n">
        <v>5</v>
      </c>
      <c r="J135" s="15" t="s">
        <v>89</v>
      </c>
      <c r="K135" s="14" t="s">
        <v>82</v>
      </c>
      <c r="L135" s="12" t="n">
        <v>3</v>
      </c>
      <c r="M135" s="13" t="s">
        <v>89</v>
      </c>
      <c r="N135" s="12" t="n">
        <v>4</v>
      </c>
      <c r="O135" s="13" t="s">
        <v>89</v>
      </c>
    </row>
    <row r="136" customFormat="false" ht="15" hidden="false" customHeight="true" outlineLevel="0" collapsed="false">
      <c r="A136" s="12" t="n">
        <v>135</v>
      </c>
      <c r="B136" s="13" t="s">
        <v>254</v>
      </c>
      <c r="C136" s="13" t="s">
        <v>255</v>
      </c>
      <c r="D136" s="13" t="s">
        <v>74</v>
      </c>
      <c r="E136" s="12" t="n">
        <v>3</v>
      </c>
      <c r="F136" s="13" t="s">
        <v>86</v>
      </c>
      <c r="G136" s="12" t="n">
        <v>4</v>
      </c>
      <c r="H136" s="13" t="s">
        <v>86</v>
      </c>
      <c r="I136" s="12" t="n">
        <v>5</v>
      </c>
      <c r="J136" s="13" t="s">
        <v>86</v>
      </c>
      <c r="K136" s="12"/>
      <c r="L136" s="12" t="n">
        <v>2</v>
      </c>
      <c r="M136" s="13" t="s">
        <v>86</v>
      </c>
      <c r="N136" s="12" t="n">
        <v>1</v>
      </c>
      <c r="O136" s="13" t="s">
        <v>86</v>
      </c>
    </row>
  </sheetData>
  <autoFilter ref="A1:O13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6"/>
    <col collapsed="false" customWidth="true" hidden="false" outlineLevel="0" max="5" min="3" style="1" width="10"/>
    <col collapsed="false" customWidth="true" hidden="false" outlineLevel="0" max="6" min="6" style="1" width="12"/>
    <col collapsed="false" customWidth="true" hidden="false" outlineLevel="0" max="7" min="7" style="1" width="14"/>
    <col collapsed="false" customWidth="true" hidden="false" outlineLevel="0" max="8" min="8" style="1" width="16"/>
    <col collapsed="false" customWidth="true" hidden="false" outlineLevel="0" max="9" min="9" style="1" width="11"/>
    <col collapsed="false" customWidth="true" hidden="false" outlineLevel="0" max="10" min="10" style="1" width="12"/>
    <col collapsed="false" customWidth="true" hidden="false" outlineLevel="0" max="11" min="11" style="1" width="13"/>
    <col collapsed="false" customWidth="true" hidden="false" outlineLevel="0" max="14" min="12" style="1" width="12"/>
  </cols>
  <sheetData>
    <row r="2" customFormat="false" ht="18" hidden="false" customHeight="true" outlineLevel="0" collapsed="false">
      <c r="B2" s="16" t="s">
        <v>256</v>
      </c>
    </row>
    <row r="3" customFormat="false" ht="15" hidden="false" customHeight="true" outlineLevel="0" collapsed="false">
      <c r="B3" s="17" t="s">
        <v>257</v>
      </c>
    </row>
    <row r="4" customFormat="false" ht="15" hidden="false" customHeight="true" outlineLevel="0" collapsed="false">
      <c r="B4" s="18" t="s">
        <v>258</v>
      </c>
    </row>
    <row r="5" customFormat="false" ht="15" hidden="false" customHeight="true" outlineLevel="0" collapsed="false">
      <c r="B5" s="11" t="s">
        <v>259</v>
      </c>
      <c r="C5" s="11" t="s">
        <v>89</v>
      </c>
      <c r="D5" s="11" t="s">
        <v>86</v>
      </c>
      <c r="E5" s="11" t="s">
        <v>260</v>
      </c>
      <c r="F5" s="11" t="s">
        <v>70</v>
      </c>
      <c r="G5" s="11" t="s">
        <v>128</v>
      </c>
      <c r="H5" s="11" t="s">
        <v>72</v>
      </c>
      <c r="I5" s="11" t="s">
        <v>261</v>
      </c>
      <c r="J5" s="11" t="s">
        <v>262</v>
      </c>
      <c r="K5" s="11" t="s">
        <v>263</v>
      </c>
    </row>
    <row r="6" customFormat="false" ht="15" hidden="false" customHeight="true" outlineLevel="0" collapsed="false">
      <c r="B6" s="19" t="s">
        <v>264</v>
      </c>
      <c r="C6" s="12" t="n">
        <f aca="false">COUNTIF(Wording_Ranks!$F$2:$F$136,"Full")</f>
        <v>49</v>
      </c>
      <c r="D6" s="12" t="n">
        <f aca="false">COUNTIF(Wording_Ranks!$F$2:$F$136,"Partial")</f>
        <v>41</v>
      </c>
      <c r="E6" s="12" t="n">
        <f aca="false">COUNTIF(Wording_Ranks!$F$2:$F$136,"Booster")</f>
        <v>0</v>
      </c>
      <c r="F6" s="12" t="n">
        <f aca="false">COUNTIF(Wording_Ranks!$F$2:$F$136,"Ancillary")</f>
        <v>1</v>
      </c>
      <c r="G6" s="12" t="n">
        <f aca="false">COUNTIF(Wording_Ranks!$F$2:$F$136,"Child-only")</f>
        <v>0</v>
      </c>
      <c r="H6" s="12" t="n">
        <f aca="false">COUNTIF(Wording_Ranks!$F$2:$F$136,"Not covered")</f>
        <v>44</v>
      </c>
      <c r="I6" s="12" t="n">
        <f aca="false">SUM(C6:H6)</f>
        <v>135</v>
      </c>
      <c r="J6" s="20" t="n">
        <f aca="false">AVERAGE(Wording_Ranks!$E$2:$E$136)</f>
        <v>2.54814814814815</v>
      </c>
      <c r="K6" s="21" t="n">
        <f aca="false">COUNTIF(Wording_Ranks!$E$2:$E$136,1)/COUNTA(Wording_Ranks!$E$2:$E$136)</f>
        <v>0.207407407407407</v>
      </c>
    </row>
    <row r="7" customFormat="false" ht="15" hidden="false" customHeight="true" outlineLevel="0" collapsed="false">
      <c r="B7" s="19" t="s">
        <v>265</v>
      </c>
      <c r="C7" s="12" t="n">
        <f aca="false">COUNTIF(Wording_Ranks!$H$2:$H$136,"Full")</f>
        <v>46</v>
      </c>
      <c r="D7" s="12" t="n">
        <f aca="false">COUNTIF(Wording_Ranks!$H$2:$H$136,"Partial")</f>
        <v>38</v>
      </c>
      <c r="E7" s="12" t="n">
        <f aca="false">COUNTIF(Wording_Ranks!$H$2:$H$136,"Booster")</f>
        <v>0</v>
      </c>
      <c r="F7" s="12" t="n">
        <f aca="false">COUNTIF(Wording_Ranks!$H$2:$H$136,"Ancillary")</f>
        <v>14</v>
      </c>
      <c r="G7" s="12" t="n">
        <f aca="false">COUNTIF(Wording_Ranks!$H$2:$H$136,"Child-only")</f>
        <v>1</v>
      </c>
      <c r="H7" s="12" t="n">
        <f aca="false">COUNTIF(Wording_Ranks!$H$2:$H$136,"Not covered")</f>
        <v>36</v>
      </c>
      <c r="I7" s="12" t="n">
        <f aca="false">SUM(C7:H7)</f>
        <v>135</v>
      </c>
      <c r="J7" s="20" t="n">
        <f aca="false">AVERAGE(Wording_Ranks!$G$2:$G$136)</f>
        <v>2.74814814814815</v>
      </c>
      <c r="K7" s="21" t="n">
        <f aca="false">COUNTIF(Wording_Ranks!$G$2:$G$136,1)/COUNTA(Wording_Ranks!$G$2:$G$136)</f>
        <v>0.22962962962963</v>
      </c>
    </row>
    <row r="8" customFormat="false" ht="15" hidden="false" customHeight="true" outlineLevel="0" collapsed="false">
      <c r="B8" s="19" t="s">
        <v>266</v>
      </c>
      <c r="C8" s="12" t="n">
        <f aca="false">COUNTIF(Wording_Ranks!$J$2:$J$136,"Full")</f>
        <v>54</v>
      </c>
      <c r="D8" s="12" t="n">
        <f aca="false">COUNTIF(Wording_Ranks!$J$2:$J$136,"Partial")</f>
        <v>34</v>
      </c>
      <c r="E8" s="12" t="n">
        <f aca="false">COUNTIF(Wording_Ranks!$J$2:$J$136,"Booster")</f>
        <v>0</v>
      </c>
      <c r="F8" s="12" t="n">
        <f aca="false">COUNTIF(Wording_Ranks!$J$2:$J$136,"Ancillary")</f>
        <v>2</v>
      </c>
      <c r="G8" s="12" t="n">
        <f aca="false">COUNTIF(Wording_Ranks!$J$2:$J$136,"Child-only")</f>
        <v>1</v>
      </c>
      <c r="H8" s="12" t="n">
        <f aca="false">COUNTIF(Wording_Ranks!$J$2:$J$136,"Not covered")</f>
        <v>44</v>
      </c>
      <c r="I8" s="12" t="n">
        <f aca="false">SUM(C8:H8)</f>
        <v>135</v>
      </c>
      <c r="J8" s="20" t="n">
        <f aca="false">AVERAGE(Wording_Ranks!$I$2:$I$136)</f>
        <v>4.72592592592593</v>
      </c>
      <c r="K8" s="21" t="n">
        <f aca="false">COUNTIF(Wording_Ranks!$I$2:$I$136,1)/COUNTA(Wording_Ranks!$I$2:$I$136)</f>
        <v>0</v>
      </c>
    </row>
    <row r="9" customFormat="false" ht="15" hidden="false" customHeight="true" outlineLevel="0" collapsed="false">
      <c r="B9" s="19" t="s">
        <v>267</v>
      </c>
      <c r="C9" s="12" t="n">
        <f aca="false">COUNTIF(Wording_Ranks!$M$2:$M$136,"Full")</f>
        <v>56</v>
      </c>
      <c r="D9" s="12" t="n">
        <f aca="false">COUNTIF(Wording_Ranks!$M$2:$M$136,"Partial")</f>
        <v>49</v>
      </c>
      <c r="E9" s="12" t="n">
        <f aca="false">COUNTIF(Wording_Ranks!$M$2:$M$136,"Booster")</f>
        <v>0</v>
      </c>
      <c r="F9" s="12" t="n">
        <f aca="false">COUNTIF(Wording_Ranks!$M$2:$M$136,"Ancillary")</f>
        <v>4</v>
      </c>
      <c r="G9" s="12" t="n">
        <f aca="false">COUNTIF(Wording_Ranks!$M$2:$M$136,"Child-only")</f>
        <v>1</v>
      </c>
      <c r="H9" s="12" t="n">
        <f aca="false">COUNTIF(Wording_Ranks!$M$2:$M$136,"Not covered")</f>
        <v>25</v>
      </c>
      <c r="I9" s="12" t="n">
        <f aca="false">SUM(C9:H9)</f>
        <v>135</v>
      </c>
      <c r="J9" s="20" t="n">
        <f aca="false">AVERAGE(Wording_Ranks!$L$2:$L$136)</f>
        <v>2.21481481481482</v>
      </c>
      <c r="K9" s="21" t="n">
        <f aca="false">COUNTIF(Wording_Ranks!$L$2:$L$136,1)/COUNTA(Wording_Ranks!$L$2:$L$136)</f>
        <v>0.281481481481482</v>
      </c>
    </row>
    <row r="10" customFormat="false" ht="15" hidden="false" customHeight="true" outlineLevel="0" collapsed="false">
      <c r="B10" s="19" t="s">
        <v>268</v>
      </c>
      <c r="C10" s="12" t="n">
        <f aca="false">COUNTIF(Wording_Ranks!$O$2:$O$136,"Full")</f>
        <v>45</v>
      </c>
      <c r="D10" s="12" t="n">
        <f aca="false">COUNTIF(Wording_Ranks!$O$2:$O$136,"Partial")</f>
        <v>25</v>
      </c>
      <c r="E10" s="12" t="n">
        <f aca="false">COUNTIF(Wording_Ranks!$O$2:$O$136,"Booster")</f>
        <v>0</v>
      </c>
      <c r="F10" s="12" t="n">
        <f aca="false">COUNTIF(Wording_Ranks!$O$2:$O$136,"Ancillary")</f>
        <v>5</v>
      </c>
      <c r="G10" s="12" t="n">
        <f aca="false">COUNTIF(Wording_Ranks!$O$2:$O$136,"Child-only")</f>
        <v>5</v>
      </c>
      <c r="H10" s="12" t="n">
        <f aca="false">COUNTIF(Wording_Ranks!$O$2:$O$136,"Not covered")</f>
        <v>55</v>
      </c>
      <c r="I10" s="12" t="n">
        <f aca="false">SUM(C10:H10)</f>
        <v>135</v>
      </c>
      <c r="J10" s="20" t="n">
        <f aca="false">AVERAGE(Wording_Ranks!$N$2:$N$136)</f>
        <v>2.55555555555556</v>
      </c>
      <c r="K10" s="21" t="n">
        <f aca="false">COUNTIF(Wording_Ranks!$N$2:$N$136,1)/COUNTA(Wording_Ranks!$N$2:$N$136)</f>
        <v>0.281481481481482</v>
      </c>
    </row>
    <row r="12" customFormat="false" ht="15" hidden="false" customHeight="true" outlineLevel="0" collapsed="false">
      <c r="B12" s="18" t="s">
        <v>269</v>
      </c>
    </row>
    <row r="13" customFormat="false" ht="15" hidden="false" customHeight="true" outlineLevel="0" collapsed="false">
      <c r="B13" s="11" t="s">
        <v>259</v>
      </c>
      <c r="C13" s="11" t="s">
        <v>89</v>
      </c>
      <c r="D13" s="11" t="s">
        <v>86</v>
      </c>
      <c r="E13" s="11" t="s">
        <v>260</v>
      </c>
      <c r="F13" s="11" t="s">
        <v>70</v>
      </c>
      <c r="G13" s="11" t="s">
        <v>128</v>
      </c>
      <c r="H13" s="11" t="s">
        <v>72</v>
      </c>
      <c r="I13" s="11" t="s">
        <v>261</v>
      </c>
      <c r="J13" s="11" t="s">
        <v>262</v>
      </c>
      <c r="K13" s="11" t="s">
        <v>263</v>
      </c>
    </row>
    <row r="14" customFormat="false" ht="15" hidden="false" customHeight="true" outlineLevel="0" collapsed="false">
      <c r="B14" s="19" t="s">
        <v>264</v>
      </c>
      <c r="C14" s="22" t="n">
        <v>49</v>
      </c>
      <c r="D14" s="22" t="n">
        <v>24</v>
      </c>
      <c r="E14" s="22" t="n">
        <v>0</v>
      </c>
      <c r="F14" s="22" t="n">
        <v>1</v>
      </c>
      <c r="G14" s="22" t="n">
        <v>0</v>
      </c>
      <c r="H14" s="22" t="n">
        <v>61</v>
      </c>
      <c r="I14" s="22" t="n">
        <v>135</v>
      </c>
      <c r="J14" s="23" t="n">
        <v>2.53</v>
      </c>
      <c r="K14" s="24" t="n">
        <v>0.21</v>
      </c>
    </row>
    <row r="15" customFormat="false" ht="15" hidden="false" customHeight="true" outlineLevel="0" collapsed="false">
      <c r="B15" s="19" t="s">
        <v>265</v>
      </c>
      <c r="C15" s="22" t="n">
        <v>69</v>
      </c>
      <c r="D15" s="22" t="n">
        <v>0</v>
      </c>
      <c r="E15" s="22" t="n">
        <v>0</v>
      </c>
      <c r="F15" s="22" t="n">
        <v>14</v>
      </c>
      <c r="G15" s="22" t="n">
        <v>1</v>
      </c>
      <c r="H15" s="22" t="n">
        <v>51</v>
      </c>
      <c r="I15" s="22" t="n">
        <v>135</v>
      </c>
      <c r="J15" s="23" t="n">
        <v>2.96</v>
      </c>
      <c r="K15" s="24" t="n">
        <v>0.23</v>
      </c>
    </row>
    <row r="16" customFormat="false" ht="15" hidden="false" customHeight="true" outlineLevel="0" collapsed="false">
      <c r="B16" s="19" t="s">
        <v>266</v>
      </c>
      <c r="C16" s="22" t="n">
        <v>45</v>
      </c>
      <c r="D16" s="22" t="n">
        <v>17</v>
      </c>
      <c r="E16" s="22" t="n">
        <v>0</v>
      </c>
      <c r="F16" s="22" t="n">
        <v>2</v>
      </c>
      <c r="G16" s="22" t="n">
        <v>1</v>
      </c>
      <c r="H16" s="22" t="n">
        <v>70</v>
      </c>
      <c r="I16" s="22" t="n">
        <v>135</v>
      </c>
      <c r="J16" s="23" t="n">
        <v>4.76</v>
      </c>
      <c r="K16" s="24" t="n">
        <v>0</v>
      </c>
    </row>
    <row r="17" customFormat="false" ht="15" hidden="false" customHeight="true" outlineLevel="0" collapsed="false">
      <c r="B17" s="19" t="s">
        <v>267</v>
      </c>
      <c r="C17" s="22" t="n">
        <v>56</v>
      </c>
      <c r="D17" s="22" t="n">
        <v>48</v>
      </c>
      <c r="E17" s="22" t="n">
        <v>0</v>
      </c>
      <c r="F17" s="22" t="n">
        <v>4</v>
      </c>
      <c r="G17" s="22" t="n">
        <v>1</v>
      </c>
      <c r="H17" s="22" t="n">
        <v>26</v>
      </c>
      <c r="I17" s="22" t="n">
        <v>135</v>
      </c>
      <c r="J17" s="23" t="n">
        <v>2.2</v>
      </c>
      <c r="K17" s="24" t="n">
        <v>0.28</v>
      </c>
    </row>
    <row r="18" customFormat="false" ht="15" hidden="false" customHeight="true" outlineLevel="0" collapsed="false">
      <c r="B18" s="19" t="s">
        <v>268</v>
      </c>
      <c r="C18" s="22" t="n">
        <v>47</v>
      </c>
      <c r="D18" s="22" t="n">
        <v>20</v>
      </c>
      <c r="E18" s="22" t="n">
        <v>0</v>
      </c>
      <c r="F18" s="22" t="n">
        <v>4</v>
      </c>
      <c r="G18" s="22" t="n">
        <v>5</v>
      </c>
      <c r="H18" s="22" t="n">
        <v>59</v>
      </c>
      <c r="I18" s="22" t="n">
        <v>135</v>
      </c>
      <c r="J18" s="23" t="n">
        <v>2.56</v>
      </c>
      <c r="K18" s="24" t="n">
        <v>0.28</v>
      </c>
    </row>
    <row r="20" customFormat="false" ht="15" hidden="false" customHeight="true" outlineLevel="0" collapsed="false">
      <c r="B20" s="18" t="s">
        <v>270</v>
      </c>
    </row>
    <row r="21" customFormat="false" ht="15" hidden="false" customHeight="true" outlineLevel="0" collapsed="false">
      <c r="B21" s="11" t="s">
        <v>259</v>
      </c>
      <c r="C21" s="11" t="s">
        <v>89</v>
      </c>
      <c r="D21" s="11" t="s">
        <v>86</v>
      </c>
      <c r="E21" s="11" t="s">
        <v>260</v>
      </c>
      <c r="F21" s="11" t="s">
        <v>70</v>
      </c>
      <c r="G21" s="11" t="s">
        <v>128</v>
      </c>
      <c r="H21" s="11" t="s">
        <v>72</v>
      </c>
      <c r="I21" s="11" t="s">
        <v>261</v>
      </c>
      <c r="J21" s="11" t="s">
        <v>262</v>
      </c>
      <c r="K21" s="11" t="s">
        <v>263</v>
      </c>
    </row>
    <row r="22" customFormat="false" ht="15" hidden="false" customHeight="true" outlineLevel="0" collapsed="false">
      <c r="B22" s="19" t="s">
        <v>264</v>
      </c>
      <c r="C22" s="12" t="n">
        <f aca="false">C6-C14</f>
        <v>0</v>
      </c>
      <c r="D22" s="12" t="n">
        <f aca="false">D6-D14</f>
        <v>17</v>
      </c>
      <c r="E22" s="12" t="n">
        <f aca="false">E6-E14</f>
        <v>0</v>
      </c>
      <c r="F22" s="12" t="n">
        <f aca="false">F6-F14</f>
        <v>0</v>
      </c>
      <c r="G22" s="12" t="n">
        <f aca="false">G6-G14</f>
        <v>0</v>
      </c>
      <c r="H22" s="12" t="n">
        <f aca="false">H6-H14</f>
        <v>-17</v>
      </c>
      <c r="I22" s="12" t="n">
        <f aca="false">I6-I14</f>
        <v>0</v>
      </c>
      <c r="J22" s="12" t="n">
        <f aca="false">IF(ROUND(J6-J14,2)=0,"OK",ROUND(J6-J14,2))</f>
        <v>0.02</v>
      </c>
      <c r="K22" s="12" t="str">
        <f aca="false">IF(ROUND(K6-K14,2)=0,"OK",ROUND(K6-K14,2))</f>
        <v>OK</v>
      </c>
    </row>
    <row r="23" customFormat="false" ht="15" hidden="false" customHeight="true" outlineLevel="0" collapsed="false">
      <c r="B23" s="19" t="s">
        <v>265</v>
      </c>
      <c r="C23" s="12" t="n">
        <f aca="false">C7-C15</f>
        <v>-23</v>
      </c>
      <c r="D23" s="12" t="n">
        <f aca="false">D7-D15</f>
        <v>38</v>
      </c>
      <c r="E23" s="12" t="n">
        <f aca="false">E7-E15</f>
        <v>0</v>
      </c>
      <c r="F23" s="12" t="n">
        <f aca="false">F7-F15</f>
        <v>0</v>
      </c>
      <c r="G23" s="12" t="n">
        <f aca="false">G7-G15</f>
        <v>0</v>
      </c>
      <c r="H23" s="12" t="n">
        <f aca="false">H7-H15</f>
        <v>-15</v>
      </c>
      <c r="I23" s="12" t="n">
        <f aca="false">I7-I15</f>
        <v>0</v>
      </c>
      <c r="J23" s="12" t="n">
        <f aca="false">IF(ROUND(J7-J15,2)=0,"OK",ROUND(J7-J15,2))</f>
        <v>-0.21</v>
      </c>
      <c r="K23" s="12" t="str">
        <f aca="false">IF(ROUND(K7-K15,2)=0,"OK",ROUND(K7-K15,2))</f>
        <v>OK</v>
      </c>
    </row>
    <row r="24" customFormat="false" ht="15" hidden="false" customHeight="true" outlineLevel="0" collapsed="false">
      <c r="B24" s="19" t="s">
        <v>266</v>
      </c>
      <c r="C24" s="12" t="n">
        <f aca="false">C8-C16</f>
        <v>9</v>
      </c>
      <c r="D24" s="12" t="n">
        <f aca="false">D8-D16</f>
        <v>17</v>
      </c>
      <c r="E24" s="12" t="n">
        <f aca="false">E8-E16</f>
        <v>0</v>
      </c>
      <c r="F24" s="12" t="n">
        <f aca="false">F8-F16</f>
        <v>0</v>
      </c>
      <c r="G24" s="12" t="n">
        <f aca="false">G8-G16</f>
        <v>0</v>
      </c>
      <c r="H24" s="12" t="n">
        <f aca="false">H8-H16</f>
        <v>-26</v>
      </c>
      <c r="I24" s="12" t="n">
        <f aca="false">I8-I16</f>
        <v>0</v>
      </c>
      <c r="J24" s="12" t="n">
        <f aca="false">IF(ROUND(J8-J16,2)=0,"OK",ROUND(J8-J16,2))</f>
        <v>-0.03</v>
      </c>
      <c r="K24" s="12" t="str">
        <f aca="false">IF(ROUND(K8-K16,2)=0,"OK",ROUND(K8-K16,2))</f>
        <v>OK</v>
      </c>
    </row>
    <row r="25" customFormat="false" ht="15" hidden="false" customHeight="true" outlineLevel="0" collapsed="false">
      <c r="B25" s="19" t="s">
        <v>267</v>
      </c>
      <c r="C25" s="12" t="n">
        <f aca="false">C9-C17</f>
        <v>0</v>
      </c>
      <c r="D25" s="12" t="n">
        <f aca="false">D9-D17</f>
        <v>1</v>
      </c>
      <c r="E25" s="12" t="n">
        <f aca="false">E9-E17</f>
        <v>0</v>
      </c>
      <c r="F25" s="12" t="n">
        <f aca="false">F9-F17</f>
        <v>0</v>
      </c>
      <c r="G25" s="12" t="n">
        <f aca="false">G9-G17</f>
        <v>0</v>
      </c>
      <c r="H25" s="12" t="n">
        <f aca="false">H9-H17</f>
        <v>-1</v>
      </c>
      <c r="I25" s="12" t="n">
        <f aca="false">I9-I17</f>
        <v>0</v>
      </c>
      <c r="J25" s="12" t="n">
        <f aca="false">IF(ROUND(J9-J17,2)=0,"OK",ROUND(J9-J17,2))</f>
        <v>0.01</v>
      </c>
      <c r="K25" s="12" t="str">
        <f aca="false">IF(ROUND(K9-K17,2)=0,"OK",ROUND(K9-K17,2))</f>
        <v>OK</v>
      </c>
    </row>
    <row r="26" customFormat="false" ht="15" hidden="false" customHeight="true" outlineLevel="0" collapsed="false">
      <c r="B26" s="19" t="s">
        <v>268</v>
      </c>
      <c r="C26" s="12" t="n">
        <f aca="false">C10-C18</f>
        <v>-2</v>
      </c>
      <c r="D26" s="12" t="n">
        <f aca="false">D10-D18</f>
        <v>5</v>
      </c>
      <c r="E26" s="12" t="n">
        <f aca="false">E10-E18</f>
        <v>0</v>
      </c>
      <c r="F26" s="12" t="n">
        <f aca="false">F10-F18</f>
        <v>1</v>
      </c>
      <c r="G26" s="12" t="n">
        <f aca="false">G10-G18</f>
        <v>0</v>
      </c>
      <c r="H26" s="12" t="n">
        <f aca="false">H10-H18</f>
        <v>-4</v>
      </c>
      <c r="I26" s="12" t="n">
        <f aca="false">I10-I18</f>
        <v>0</v>
      </c>
      <c r="J26" s="12" t="str">
        <f aca="false">IF(ROUND(J10-J18,2)=0,"OK",ROUND(J10-J18,2))</f>
        <v>OK</v>
      </c>
      <c r="K26" s="12" t="str">
        <f aca="false">IF(ROUND(K10-K18,2)=0,"OK",ROUND(K10-K18,2))</f>
        <v>OK</v>
      </c>
    </row>
    <row r="28" customFormat="false" ht="15" hidden="false" customHeight="true" outlineLevel="0" collapsed="false">
      <c r="B28" s="18" t="s">
        <v>271</v>
      </c>
      <c r="C28" s="25" t="str">
        <f aca="false">IF(SUMPRODUCT(ABS(C22:I26))=0,"ALL COUNTS MATCH","MISMATCH — see diffs")</f>
        <v>MISMATCH — see diffs</v>
      </c>
      <c r="D28" s="25"/>
      <c r="E28" s="25"/>
      <c r="F28" s="25"/>
      <c r="G28" s="25"/>
      <c r="H28" s="25"/>
    </row>
  </sheetData>
  <mergeCells count="1">
    <mergeCell ref="C28:H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9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6"/>
    <col collapsed="false" customWidth="true" hidden="false" outlineLevel="0" max="3" min="3" style="1" width="16"/>
    <col collapsed="false" customWidth="true" hidden="false" outlineLevel="0" max="4" min="4" style="1" width="13"/>
    <col collapsed="false" customWidth="true" hidden="false" outlineLevel="0" max="5" min="5" style="1" width="10"/>
    <col collapsed="false" customWidth="true" hidden="false" outlineLevel="0" max="6" min="6" style="1" width="15"/>
    <col collapsed="false" customWidth="true" hidden="false" outlineLevel="0" max="7" min="7" style="1" width="13"/>
    <col collapsed="false" customWidth="true" hidden="false" outlineLevel="0" max="8" min="8" style="1" width="12"/>
  </cols>
  <sheetData>
    <row r="2" customFormat="false" ht="18" hidden="false" customHeight="true" outlineLevel="0" collapsed="false">
      <c r="B2" s="16" t="s">
        <v>272</v>
      </c>
    </row>
    <row r="3" customFormat="false" ht="15" hidden="false" customHeight="true" outlineLevel="0" collapsed="false">
      <c r="B3" s="26"/>
    </row>
    <row r="4" customFormat="false" ht="15" hidden="false" customHeight="true" outlineLevel="0" collapsed="false">
      <c r="B4" s="1" t="s">
        <v>273</v>
      </c>
    </row>
    <row r="5" customFormat="false" ht="15" hidden="false" customHeight="true" outlineLevel="0" collapsed="false">
      <c r="B5" s="18"/>
      <c r="C5" s="27"/>
    </row>
    <row r="6" customFormat="false" ht="15" hidden="false" customHeight="true" outlineLevel="0" collapsed="false">
      <c r="B6" s="18"/>
      <c r="C6" s="27"/>
    </row>
    <row r="7" customFormat="false" ht="15" hidden="false" customHeight="true" outlineLevel="0" collapsed="false">
      <c r="B7" s="18"/>
      <c r="C7" s="27"/>
    </row>
    <row r="8" customFormat="false" ht="15" hidden="false" customHeight="true" outlineLevel="0" collapsed="false">
      <c r="B8" s="18"/>
      <c r="C8" s="27"/>
    </row>
    <row r="9" customFormat="false" ht="15" hidden="false" customHeight="true" outlineLevel="0" collapsed="false">
      <c r="B9" s="18"/>
      <c r="C9" s="28"/>
    </row>
    <row r="10" customFormat="false" ht="15" hidden="false" customHeight="true" outlineLevel="0" collapsed="false">
      <c r="B10" s="18"/>
      <c r="C10" s="27"/>
    </row>
    <row r="12" customFormat="false" ht="15" hidden="false" customHeight="true" outlineLevel="0" collapsed="false">
      <c r="B12" s="29"/>
    </row>
    <row r="13" customFormat="false" ht="15" hidden="false" customHeight="true" outlineLevel="0" collapsed="false">
      <c r="B13" s="30"/>
      <c r="C13" s="30"/>
      <c r="D13" s="30"/>
    </row>
    <row r="14" customFormat="false" ht="15" hidden="false" customHeight="true" outlineLevel="0" collapsed="false">
      <c r="B14" s="27"/>
      <c r="C14" s="31"/>
      <c r="D14" s="32"/>
    </row>
    <row r="15" customFormat="false" ht="15" hidden="false" customHeight="true" outlineLevel="0" collapsed="false">
      <c r="B15" s="27"/>
      <c r="C15" s="31"/>
      <c r="D15" s="32"/>
    </row>
    <row r="16" customFormat="false" ht="15" hidden="false" customHeight="true" outlineLevel="0" collapsed="false">
      <c r="B16" s="27"/>
      <c r="C16" s="31"/>
      <c r="D16" s="32"/>
    </row>
    <row r="17" customFormat="false" ht="15" hidden="false" customHeight="true" outlineLevel="0" collapsed="false">
      <c r="B17" s="27"/>
      <c r="C17" s="31"/>
      <c r="D17" s="32"/>
    </row>
    <row r="18" customFormat="false" ht="15" hidden="false" customHeight="true" outlineLevel="0" collapsed="false">
      <c r="B18" s="27"/>
      <c r="C18" s="31"/>
      <c r="D18" s="33"/>
    </row>
    <row r="19" customFormat="false" ht="15" hidden="false" customHeight="true" outlineLevel="0" collapsed="false">
      <c r="B19" s="18"/>
      <c r="C19" s="34"/>
      <c r="D19" s="35"/>
    </row>
    <row r="20" customFormat="false" ht="15" hidden="false" customHeight="true" outlineLevel="0" collapsed="false">
      <c r="B20" s="18"/>
      <c r="C20" s="31"/>
      <c r="D20" s="36"/>
    </row>
    <row r="21" customFormat="false" ht="15" hidden="false" customHeight="true" outlineLevel="0" collapsed="false">
      <c r="B21" s="18"/>
      <c r="C21" s="37"/>
    </row>
    <row r="22" customFormat="false" ht="15" hidden="false" customHeight="true" outlineLevel="0" collapsed="false">
      <c r="B22" s="26"/>
    </row>
    <row r="24" customFormat="false" ht="15" hidden="false" customHeight="true" outlineLevel="0" collapsed="false">
      <c r="B24" s="29"/>
    </row>
    <row r="25" customFormat="false" ht="15" hidden="false" customHeight="true" outlineLevel="0" collapsed="false">
      <c r="B25" s="26"/>
    </row>
    <row r="26" customFormat="false" ht="15" hidden="false" customHeight="true" outlineLevel="0" collapsed="false">
      <c r="B26" s="30"/>
      <c r="C26" s="30"/>
      <c r="D26" s="30"/>
      <c r="E26" s="30"/>
      <c r="F26" s="30"/>
      <c r="G26" s="30"/>
    </row>
    <row r="27" customFormat="false" ht="15" hidden="false" customHeight="true" outlineLevel="0" collapsed="false">
      <c r="B27" s="18"/>
    </row>
    <row r="28" customFormat="false" ht="15" hidden="false" customHeight="true" outlineLevel="0" collapsed="false">
      <c r="B28" s="27"/>
      <c r="C28" s="31"/>
      <c r="D28" s="32"/>
      <c r="E28" s="38"/>
      <c r="F28" s="32"/>
      <c r="G28" s="39"/>
    </row>
    <row r="29" customFormat="false" ht="15" hidden="false" customHeight="true" outlineLevel="0" collapsed="false">
      <c r="B29" s="27"/>
      <c r="C29" s="31"/>
      <c r="D29" s="32"/>
      <c r="E29" s="38"/>
      <c r="F29" s="32"/>
      <c r="G29" s="39"/>
    </row>
    <row r="30" customFormat="false" ht="15" hidden="false" customHeight="true" outlineLevel="0" collapsed="false">
      <c r="B30" s="27"/>
      <c r="C30" s="31"/>
      <c r="D30" s="32"/>
      <c r="E30" s="38"/>
      <c r="F30" s="32"/>
      <c r="G30" s="40"/>
    </row>
    <row r="31" customFormat="false" ht="15" hidden="false" customHeight="true" outlineLevel="0" collapsed="false">
      <c r="B31" s="18"/>
      <c r="C31" s="34"/>
      <c r="D31" s="35"/>
    </row>
    <row r="32" customFormat="false" ht="15" hidden="false" customHeight="true" outlineLevel="0" collapsed="false">
      <c r="B32" s="27"/>
      <c r="C32" s="41"/>
      <c r="D32" s="42"/>
      <c r="E32" s="26"/>
    </row>
    <row r="34" customFormat="false" ht="15" hidden="false" customHeight="true" outlineLevel="0" collapsed="false">
      <c r="B34" s="18"/>
    </row>
    <row r="35" customFormat="false" ht="15" hidden="false" customHeight="true" outlineLevel="0" collapsed="false">
      <c r="B35" s="27"/>
      <c r="C35" s="31"/>
      <c r="D35" s="32"/>
      <c r="E35" s="38"/>
      <c r="F35" s="32"/>
      <c r="G35" s="39"/>
    </row>
    <row r="36" customFormat="false" ht="15" hidden="false" customHeight="true" outlineLevel="0" collapsed="false">
      <c r="B36" s="27"/>
      <c r="C36" s="31"/>
      <c r="D36" s="32"/>
      <c r="E36" s="38"/>
      <c r="F36" s="32"/>
      <c r="G36" s="39"/>
    </row>
    <row r="37" customFormat="false" ht="15" hidden="false" customHeight="true" outlineLevel="0" collapsed="false">
      <c r="B37" s="27"/>
      <c r="C37" s="31"/>
      <c r="D37" s="32"/>
      <c r="E37" s="38"/>
      <c r="F37" s="32"/>
      <c r="G37" s="40"/>
    </row>
    <row r="38" customFormat="false" ht="15" hidden="false" customHeight="true" outlineLevel="0" collapsed="false">
      <c r="B38" s="27"/>
      <c r="C38" s="31"/>
      <c r="D38" s="32"/>
      <c r="E38" s="40"/>
      <c r="F38" s="40"/>
      <c r="G38" s="40"/>
    </row>
    <row r="39" customFormat="false" ht="15" hidden="false" customHeight="true" outlineLevel="0" collapsed="false">
      <c r="B39" s="27"/>
      <c r="C39" s="31"/>
      <c r="D39" s="32"/>
      <c r="E39" s="40"/>
      <c r="F39" s="40"/>
      <c r="G39" s="40"/>
    </row>
    <row r="40" customFormat="false" ht="15" hidden="false" customHeight="true" outlineLevel="0" collapsed="false">
      <c r="B40" s="18"/>
      <c r="C40" s="34"/>
      <c r="D40" s="35"/>
    </row>
    <row r="41" customFormat="false" ht="15" hidden="false" customHeight="true" outlineLevel="0" collapsed="false">
      <c r="B41" s="27"/>
      <c r="C41" s="40"/>
      <c r="D41" s="42"/>
    </row>
    <row r="43" customFormat="false" ht="15" hidden="false" customHeight="true" outlineLevel="0" collapsed="false">
      <c r="B43" s="18"/>
    </row>
    <row r="44" customFormat="false" ht="15" hidden="false" customHeight="true" outlineLevel="0" collapsed="false">
      <c r="B44" s="27"/>
      <c r="C44" s="31"/>
      <c r="D44" s="32"/>
      <c r="E44" s="38"/>
      <c r="F44" s="40"/>
      <c r="G44" s="40"/>
    </row>
    <row r="45" customFormat="false" ht="15" hidden="false" customHeight="true" outlineLevel="0" collapsed="false">
      <c r="B45" s="27"/>
      <c r="C45" s="31"/>
      <c r="D45" s="32"/>
      <c r="E45" s="38"/>
      <c r="F45" s="40"/>
      <c r="G45" s="40"/>
    </row>
    <row r="46" customFormat="false" ht="15" hidden="false" customHeight="true" outlineLevel="0" collapsed="false">
      <c r="B46" s="27"/>
      <c r="C46" s="31"/>
      <c r="D46" s="32"/>
      <c r="E46" s="38"/>
      <c r="F46" s="40"/>
      <c r="G46" s="40"/>
    </row>
    <row r="47" customFormat="false" ht="15" hidden="false" customHeight="true" outlineLevel="0" collapsed="false">
      <c r="B47" s="18"/>
      <c r="C47" s="34"/>
      <c r="D47" s="35"/>
    </row>
    <row r="48" customFormat="false" ht="15" hidden="false" customHeight="true" outlineLevel="0" collapsed="false">
      <c r="B48" s="27"/>
      <c r="C48" s="37"/>
      <c r="D48" s="42"/>
    </row>
    <row r="50" customFormat="false" ht="15" hidden="false" customHeight="true" outlineLevel="0" collapsed="false">
      <c r="B50" s="18"/>
    </row>
    <row r="51" customFormat="false" ht="15" hidden="false" customHeight="true" outlineLevel="0" collapsed="false">
      <c r="B51" s="27"/>
      <c r="C51" s="31"/>
      <c r="D51" s="32"/>
      <c r="E51" s="40"/>
      <c r="F51" s="40"/>
      <c r="G51" s="39"/>
    </row>
    <row r="52" customFormat="false" ht="15" hidden="false" customHeight="true" outlineLevel="0" collapsed="false">
      <c r="B52" s="27"/>
      <c r="C52" s="31"/>
      <c r="D52" s="32"/>
      <c r="E52" s="40"/>
      <c r="F52" s="40"/>
      <c r="G52" s="39"/>
    </row>
    <row r="53" customFormat="false" ht="15" hidden="false" customHeight="true" outlineLevel="0" collapsed="false">
      <c r="B53" s="27"/>
      <c r="C53" s="31"/>
      <c r="D53" s="32"/>
      <c r="E53" s="40"/>
      <c r="F53" s="40"/>
      <c r="G53" s="39"/>
    </row>
    <row r="54" customFormat="false" ht="15" hidden="false" customHeight="true" outlineLevel="0" collapsed="false">
      <c r="B54" s="18"/>
      <c r="C54" s="34"/>
      <c r="D54" s="35"/>
    </row>
    <row r="55" customFormat="false" ht="15" hidden="false" customHeight="true" outlineLevel="0" collapsed="false">
      <c r="B55" s="27"/>
      <c r="C55" s="37"/>
      <c r="D55" s="42"/>
      <c r="E55" s="26"/>
    </row>
    <row r="57" customFormat="false" ht="15" hidden="false" customHeight="true" outlineLevel="0" collapsed="false">
      <c r="B57" s="18"/>
    </row>
    <row r="58" customFormat="false" ht="15" hidden="false" customHeight="true" outlineLevel="0" collapsed="false">
      <c r="B58" s="27"/>
      <c r="C58" s="31"/>
      <c r="D58" s="40"/>
      <c r="E58" s="40"/>
      <c r="F58" s="40"/>
      <c r="G58" s="39"/>
    </row>
    <row r="59" customFormat="false" ht="15" hidden="false" customHeight="true" outlineLevel="0" collapsed="false">
      <c r="B59" s="26"/>
    </row>
    <row r="61" customFormat="false" ht="15" hidden="false" customHeight="true" outlineLevel="0" collapsed="false">
      <c r="B61" s="29"/>
    </row>
    <row r="62" customFormat="false" ht="15" hidden="false" customHeight="true" outlineLevel="0" collapsed="false">
      <c r="B62" s="30"/>
      <c r="C62" s="30"/>
      <c r="D62" s="30"/>
      <c r="E62" s="30"/>
      <c r="F62" s="30"/>
    </row>
    <row r="63" customFormat="false" ht="15" hidden="false" customHeight="true" outlineLevel="0" collapsed="false">
      <c r="B63" s="27"/>
      <c r="C63" s="39"/>
      <c r="D63" s="39"/>
      <c r="E63" s="40"/>
      <c r="F63" s="43"/>
    </row>
    <row r="64" customFormat="false" ht="15" hidden="false" customHeight="true" outlineLevel="0" collapsed="false">
      <c r="B64" s="27"/>
      <c r="C64" s="39"/>
      <c r="D64" s="39"/>
      <c r="E64" s="40"/>
      <c r="F64" s="43"/>
    </row>
    <row r="65" customFormat="false" ht="15" hidden="false" customHeight="true" outlineLevel="0" collapsed="false">
      <c r="B65" s="27"/>
      <c r="C65" s="39"/>
      <c r="D65" s="39"/>
      <c r="E65" s="39"/>
      <c r="F65" s="43"/>
    </row>
    <row r="66" customFormat="false" ht="15" hidden="false" customHeight="true" outlineLevel="0" collapsed="false">
      <c r="B66" s="27"/>
      <c r="C66" s="40"/>
      <c r="D66" s="40"/>
      <c r="E66" s="40"/>
      <c r="F66" s="40"/>
    </row>
    <row r="67" customFormat="false" ht="15" hidden="false" customHeight="true" outlineLevel="0" collapsed="false">
      <c r="B67" s="27"/>
      <c r="C67" s="39"/>
      <c r="D67" s="40"/>
      <c r="E67" s="40"/>
      <c r="F67" s="40"/>
    </row>
    <row r="68" customFormat="false" ht="15" hidden="false" customHeight="true" outlineLevel="0" collapsed="false">
      <c r="B68" s="26"/>
    </row>
    <row r="70" customFormat="false" ht="15" hidden="false" customHeight="true" outlineLevel="0" collapsed="false">
      <c r="B70" s="29"/>
    </row>
    <row r="71" customFormat="false" ht="15" hidden="false" customHeight="true" outlineLevel="0" collapsed="false">
      <c r="B71" s="30"/>
      <c r="C71" s="30"/>
    </row>
    <row r="72" customFormat="false" ht="15" hidden="false" customHeight="true" outlineLevel="0" collapsed="false">
      <c r="B72" s="27"/>
      <c r="C72" s="44"/>
    </row>
    <row r="73" customFormat="false" ht="15" hidden="false" customHeight="true" outlineLevel="0" collapsed="false">
      <c r="B73" s="27"/>
      <c r="C73" s="44"/>
    </row>
    <row r="74" customFormat="false" ht="15" hidden="false" customHeight="true" outlineLevel="0" collapsed="false">
      <c r="B74" s="27"/>
      <c r="C74" s="44"/>
    </row>
    <row r="75" customFormat="false" ht="15" hidden="false" customHeight="true" outlineLevel="0" collapsed="false">
      <c r="B75" s="27"/>
      <c r="C75" s="44"/>
    </row>
    <row r="76" customFormat="false" ht="15" hidden="false" customHeight="true" outlineLevel="0" collapsed="false">
      <c r="B76" s="18"/>
      <c r="C76" s="45"/>
    </row>
    <row r="77" customFormat="false" ht="15" hidden="false" customHeight="true" outlineLevel="0" collapsed="false">
      <c r="B77" s="26"/>
    </row>
    <row r="79" customFormat="false" ht="15" hidden="false" customHeight="true" outlineLevel="0" collapsed="false">
      <c r="B79" s="29"/>
    </row>
    <row r="80" customFormat="false" ht="15" hidden="false" customHeight="true" outlineLevel="0" collapsed="false">
      <c r="B80" s="30"/>
      <c r="C80" s="30"/>
      <c r="D80" s="30"/>
      <c r="E80" s="30"/>
      <c r="F80" s="30"/>
      <c r="G80" s="30"/>
      <c r="H80" s="30"/>
    </row>
    <row r="81" customFormat="false" ht="15" hidden="false" customHeight="true" outlineLevel="0" collapsed="false">
      <c r="B81" s="27"/>
      <c r="C81" s="31"/>
      <c r="D81" s="31"/>
      <c r="E81" s="41"/>
      <c r="F81" s="46"/>
      <c r="G81" s="39"/>
      <c r="H81" s="40"/>
    </row>
    <row r="82" customFormat="false" ht="15" hidden="false" customHeight="true" outlineLevel="0" collapsed="false">
      <c r="B82" s="27"/>
      <c r="C82" s="31"/>
      <c r="D82" s="31"/>
      <c r="E82" s="41"/>
      <c r="F82" s="46"/>
      <c r="G82" s="39"/>
      <c r="H82" s="40"/>
    </row>
    <row r="83" customFormat="false" ht="15" hidden="false" customHeight="true" outlineLevel="0" collapsed="false">
      <c r="B83" s="27"/>
      <c r="C83" s="31"/>
      <c r="D83" s="31"/>
      <c r="E83" s="41"/>
      <c r="F83" s="46"/>
      <c r="G83" s="39"/>
      <c r="H83" s="40"/>
    </row>
    <row r="84" customFormat="false" ht="15" hidden="false" customHeight="true" outlineLevel="0" collapsed="false">
      <c r="B84" s="27"/>
      <c r="C84" s="31"/>
      <c r="D84" s="31"/>
      <c r="E84" s="41"/>
      <c r="F84" s="46"/>
      <c r="G84" s="39"/>
      <c r="H84" s="40"/>
    </row>
    <row r="85" customFormat="false" ht="15" hidden="false" customHeight="true" outlineLevel="0" collapsed="false">
      <c r="B85" s="27"/>
      <c r="C85" s="31"/>
      <c r="D85" s="31"/>
      <c r="E85" s="41"/>
      <c r="F85" s="46"/>
      <c r="G85" s="39"/>
      <c r="H85" s="40"/>
    </row>
    <row r="86" customFormat="false" ht="15" hidden="false" customHeight="true" outlineLevel="0" collapsed="false">
      <c r="B86" s="18"/>
      <c r="C86" s="34"/>
      <c r="D86" s="34"/>
      <c r="E86" s="34"/>
      <c r="F86" s="47"/>
      <c r="G86" s="39"/>
      <c r="H86" s="37"/>
    </row>
    <row r="88" customFormat="false" ht="15" hidden="false" customHeight="true" outlineLevel="0" collapsed="false">
      <c r="B88" s="29"/>
    </row>
    <row r="89" customFormat="false" ht="15" hidden="false" customHeight="true" outlineLevel="0" collapsed="false">
      <c r="B89" s="30"/>
      <c r="F89" s="30"/>
      <c r="G89" s="30"/>
    </row>
    <row r="90" customFormat="false" ht="15" hidden="false" customHeight="true" outlineLevel="0" collapsed="false">
      <c r="B90" s="27"/>
      <c r="F90" s="48"/>
      <c r="G90" s="40"/>
    </row>
    <row r="91" customFormat="false" ht="15" hidden="false" customHeight="true" outlineLevel="0" collapsed="false">
      <c r="B91" s="27"/>
      <c r="F91" s="48"/>
      <c r="G91" s="40"/>
    </row>
    <row r="92" customFormat="false" ht="15" hidden="false" customHeight="true" outlineLevel="0" collapsed="false">
      <c r="B92" s="27"/>
      <c r="F92" s="48"/>
      <c r="G92" s="40"/>
    </row>
    <row r="93" customFormat="false" ht="15" hidden="false" customHeight="true" outlineLevel="0" collapsed="false">
      <c r="B93" s="27"/>
      <c r="F93" s="48"/>
      <c r="G93" s="40"/>
    </row>
    <row r="94" customFormat="false" ht="15" hidden="false" customHeight="true" outlineLevel="0" collapsed="false">
      <c r="B94" s="27"/>
      <c r="F94" s="48"/>
      <c r="G94" s="40"/>
    </row>
    <row r="95" customFormat="false" ht="15" hidden="false" customHeight="true" outlineLevel="0" collapsed="false">
      <c r="B95" s="18"/>
      <c r="G95" s="4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1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40"/>
    <col collapsed="false" customWidth="true" hidden="false" outlineLevel="0" max="4" min="3" style="1" width="12"/>
    <col collapsed="false" customWidth="true" hidden="false" outlineLevel="0" max="6" min="5" style="1" width="13"/>
    <col collapsed="false" customWidth="true" hidden="false" outlineLevel="0" max="7" min="7" style="1" width="12"/>
    <col collapsed="false" customWidth="true" hidden="false" outlineLevel="0" max="8" min="8" style="1" width="10"/>
  </cols>
  <sheetData>
    <row r="2" customFormat="false" ht="18" hidden="false" customHeight="true" outlineLevel="0" collapsed="false">
      <c r="B2" s="16" t="s">
        <v>274</v>
      </c>
    </row>
    <row r="3" customFormat="false" ht="15" hidden="false" customHeight="true" outlineLevel="0" collapsed="false">
      <c r="B3" s="26" t="s">
        <v>275</v>
      </c>
    </row>
    <row r="5" customFormat="false" ht="15" hidden="false" customHeight="true" outlineLevel="0" collapsed="false">
      <c r="B5" s="29" t="s">
        <v>276</v>
      </c>
    </row>
    <row r="6" customFormat="false" ht="15" hidden="false" customHeight="true" outlineLevel="0" collapsed="false">
      <c r="B6" s="18" t="s">
        <v>277</v>
      </c>
    </row>
    <row r="7" customFormat="false" ht="15" hidden="false" customHeight="true" outlineLevel="0" collapsed="false">
      <c r="B7" s="27" t="s">
        <v>278</v>
      </c>
      <c r="C7" s="50" t="n">
        <v>1</v>
      </c>
    </row>
    <row r="8" customFormat="false" ht="15" hidden="false" customHeight="true" outlineLevel="0" collapsed="false">
      <c r="B8" s="27" t="s">
        <v>279</v>
      </c>
      <c r="C8" s="50" t="n">
        <v>0.8</v>
      </c>
    </row>
    <row r="9" customFormat="false" ht="15" hidden="false" customHeight="true" outlineLevel="0" collapsed="false">
      <c r="B9" s="27" t="s">
        <v>280</v>
      </c>
      <c r="C9" s="50" t="n">
        <v>0.6</v>
      </c>
    </row>
    <row r="10" customFormat="false" ht="15" hidden="false" customHeight="true" outlineLevel="0" collapsed="false">
      <c r="B10" s="27" t="s">
        <v>281</v>
      </c>
      <c r="C10" s="50" t="n">
        <v>0.4</v>
      </c>
    </row>
    <row r="11" customFormat="false" ht="15" hidden="false" customHeight="true" outlineLevel="0" collapsed="false">
      <c r="B11" s="27" t="s">
        <v>282</v>
      </c>
      <c r="C11" s="50" t="n">
        <v>0.2</v>
      </c>
    </row>
    <row r="12" customFormat="false" ht="15" hidden="false" customHeight="true" outlineLevel="0" collapsed="false">
      <c r="B12" s="18" t="s">
        <v>283</v>
      </c>
      <c r="C12" s="50" t="n">
        <v>0</v>
      </c>
    </row>
    <row r="13" customFormat="false" ht="15" hidden="false" customHeight="true" outlineLevel="0" collapsed="false">
      <c r="B13" s="26" t="s">
        <v>284</v>
      </c>
    </row>
    <row r="14" customFormat="false" ht="15" hidden="false" customHeight="true" outlineLevel="0" collapsed="false">
      <c r="B14" s="26" t="s">
        <v>285</v>
      </c>
    </row>
    <row r="16" customFormat="false" ht="15" hidden="false" customHeight="true" outlineLevel="0" collapsed="false">
      <c r="B16" s="29" t="s">
        <v>286</v>
      </c>
    </row>
    <row r="17" customFormat="false" ht="15" hidden="false" customHeight="true" outlineLevel="0" collapsed="false">
      <c r="A17" s="51" t="s">
        <v>53</v>
      </c>
      <c r="B17" s="51" t="s">
        <v>54</v>
      </c>
      <c r="C17" s="51" t="s">
        <v>264</v>
      </c>
      <c r="D17" s="51" t="s">
        <v>265</v>
      </c>
      <c r="E17" s="51" t="s">
        <v>266</v>
      </c>
      <c r="F17" s="51" t="s">
        <v>267</v>
      </c>
      <c r="G17" s="51" t="s">
        <v>268</v>
      </c>
    </row>
    <row r="18" customFormat="false" ht="15" hidden="false" customHeight="true" outlineLevel="0" collapsed="false">
      <c r="A18" s="40" t="n">
        <f aca="false">Wording_Ranks!A2</f>
        <v>1</v>
      </c>
      <c r="B18" s="27" t="str">
        <f aca="false">Wording_Ranks!B2</f>
        <v>Hospital Cash Cover (Adult)</v>
      </c>
      <c r="C18" s="52" t="n">
        <f aca="false">IF(OR(Wording_Ranks!F2="Not covered",Wording_Ranks!F2="Child-only"),$C$12,INDEX($C$7:$C$11,Wording_Ranks!E2))</f>
        <v>0</v>
      </c>
      <c r="D18" s="52" t="n">
        <f aca="false">IF(OR(Wording_Ranks!H2="Not covered",Wording_Ranks!H2="Child-only"),$C$12,INDEX($C$7:$C$11,Wording_Ranks!G2))</f>
        <v>1</v>
      </c>
      <c r="E18" s="52" t="n">
        <f aca="false">IF(OR(Wording_Ranks!J2="Not covered",Wording_Ranks!J2="Child-only"),$C$12,INDEX($C$7:$C$11,Wording_Ranks!I2))</f>
        <v>0</v>
      </c>
      <c r="F18" s="52" t="n">
        <f aca="false">IF(OR(Wording_Ranks!M2="Not covered",Wording_Ranks!M2="Child-only"),$C$12,INDEX($C$7:$C$11,Wording_Ranks!L2))</f>
        <v>0</v>
      </c>
      <c r="G18" s="52" t="n">
        <f aca="false">IF(OR(Wording_Ranks!O2="Not covered",Wording_Ranks!O2="Child-only"),$C$12,INDEX($C$7:$C$11,Wording_Ranks!N2))</f>
        <v>0</v>
      </c>
    </row>
    <row r="19" customFormat="false" ht="15" hidden="false" customHeight="true" outlineLevel="0" collapsed="false">
      <c r="A19" s="40" t="n">
        <f aca="false">Wording_Ranks!A3</f>
        <v>2</v>
      </c>
      <c r="B19" s="27" t="str">
        <f aca="false">Wording_Ranks!B3</f>
        <v>Overseas Surgery Benefit</v>
      </c>
      <c r="C19" s="52" t="n">
        <f aca="false">IF(OR(Wording_Ranks!F3="Not covered",Wording_Ranks!F3="Child-only"),$C$12,INDEX($C$7:$C$11,Wording_Ranks!E3))</f>
        <v>0</v>
      </c>
      <c r="D19" s="52" t="n">
        <f aca="false">IF(OR(Wording_Ranks!H3="Not covered",Wording_Ranks!H3="Child-only"),$C$12,INDEX($C$7:$C$11,Wording_Ranks!G3))</f>
        <v>0</v>
      </c>
      <c r="E19" s="52" t="n">
        <f aca="false">IF(OR(Wording_Ranks!J3="Not covered",Wording_Ranks!J3="Child-only"),$C$12,INDEX($C$7:$C$11,Wording_Ranks!I3))</f>
        <v>0</v>
      </c>
      <c r="F19" s="52" t="n">
        <f aca="false">IF(OR(Wording_Ranks!M3="Not covered",Wording_Ranks!M3="Child-only"),$C$12,INDEX($C$7:$C$11,Wording_Ranks!L3))</f>
        <v>0</v>
      </c>
      <c r="G19" s="52" t="n">
        <f aca="false">IF(OR(Wording_Ranks!O3="Not covered",Wording_Ranks!O3="Child-only"),$C$12,INDEX($C$7:$C$11,Wording_Ranks!N3))</f>
        <v>1</v>
      </c>
    </row>
    <row r="20" customFormat="false" ht="15" hidden="false" customHeight="true" outlineLevel="0" collapsed="false">
      <c r="A20" s="40" t="n">
        <f aca="false">Wording_Ranks!A4</f>
        <v>3</v>
      </c>
      <c r="B20" s="27" t="str">
        <f aca="false">Wording_Ranks!B4</f>
        <v>Accidental Death Benefit (Interim)</v>
      </c>
      <c r="C20" s="52" t="n">
        <f aca="false">IF(OR(Wording_Ranks!F4="Not covered",Wording_Ranks!F4="Child-only"),$C$12,INDEX($C$7:$C$11,Wording_Ranks!E4))</f>
        <v>0</v>
      </c>
      <c r="D20" s="52" t="n">
        <f aca="false">IF(OR(Wording_Ranks!H4="Not covered",Wording_Ranks!H4="Child-only"),$C$12,INDEX($C$7:$C$11,Wording_Ranks!G4))</f>
        <v>1</v>
      </c>
      <c r="E20" s="52" t="n">
        <f aca="false">IF(OR(Wording_Ranks!J4="Not covered",Wording_Ranks!J4="Child-only"),$C$12,INDEX($C$7:$C$11,Wording_Ranks!I4))</f>
        <v>0</v>
      </c>
      <c r="F20" s="52" t="n">
        <f aca="false">IF(OR(Wording_Ranks!M4="Not covered",Wording_Ranks!M4="Child-only"),$C$12,INDEX($C$7:$C$11,Wording_Ranks!L4))</f>
        <v>0</v>
      </c>
      <c r="G20" s="52" t="n">
        <f aca="false">IF(OR(Wording_Ranks!O4="Not covered",Wording_Ranks!O4="Child-only"),$C$12,INDEX($C$7:$C$11,Wording_Ranks!N4))</f>
        <v>0</v>
      </c>
    </row>
    <row r="21" customFormat="false" ht="15" hidden="false" customHeight="true" outlineLevel="0" collapsed="false">
      <c r="A21" s="40" t="n">
        <f aca="false">Wording_Ranks!A5</f>
        <v>4</v>
      </c>
      <c r="B21" s="27" t="str">
        <f aca="false">Wording_Ranks!B5</f>
        <v>Terminal Illness Early Payment (Life Cover)</v>
      </c>
      <c r="C21" s="52" t="n">
        <f aca="false">IF(OR(Wording_Ranks!F5="Not covered",Wording_Ranks!F5="Child-only"),$C$12,INDEX($C$7:$C$11,Wording_Ranks!E5))</f>
        <v>1</v>
      </c>
      <c r="D21" s="52" t="n">
        <f aca="false">IF(OR(Wording_Ranks!H5="Not covered",Wording_Ranks!H5="Child-only"),$C$12,INDEX($C$7:$C$11,Wording_Ranks!G5))</f>
        <v>0.6</v>
      </c>
      <c r="E21" s="52" t="n">
        <f aca="false">IF(OR(Wording_Ranks!J5="Not covered",Wording_Ranks!J5="Child-only"),$C$12,INDEX($C$7:$C$11,Wording_Ranks!I5))</f>
        <v>0</v>
      </c>
      <c r="F21" s="52" t="n">
        <f aca="false">IF(OR(Wording_Ranks!M5="Not covered",Wording_Ranks!M5="Child-only"),$C$12,INDEX($C$7:$C$11,Wording_Ranks!L5))</f>
        <v>0.8</v>
      </c>
      <c r="G21" s="52" t="n">
        <f aca="false">IF(OR(Wording_Ranks!O5="Not covered",Wording_Ranks!O5="Child-only"),$C$12,INDEX($C$7:$C$11,Wording_Ranks!N5))</f>
        <v>0.4</v>
      </c>
    </row>
    <row r="22" customFormat="false" ht="15" hidden="false" customHeight="true" outlineLevel="0" collapsed="false">
      <c r="A22" s="40" t="n">
        <f aca="false">Wording_Ranks!A6</f>
        <v>5</v>
      </c>
      <c r="B22" s="27" t="str">
        <f aca="false">Wording_Ranks!B6</f>
        <v>Waiting List / Pre-Surgery Pre-Payment Benefit</v>
      </c>
      <c r="C22" s="52" t="n">
        <f aca="false">IF(OR(Wording_Ranks!F6="Not covered",Wording_Ranks!F6="Child-only"),$C$12,INDEX($C$7:$C$11,Wording_Ranks!E6))</f>
        <v>0</v>
      </c>
      <c r="D22" s="52" t="n">
        <f aca="false">IF(OR(Wording_Ranks!H6="Not covered",Wording_Ranks!H6="Child-only"),$C$12,INDEX($C$7:$C$11,Wording_Ranks!G6))</f>
        <v>1</v>
      </c>
      <c r="E22" s="52" t="n">
        <f aca="false">IF(OR(Wording_Ranks!J6="Not covered",Wording_Ranks!J6="Child-only"),$C$12,INDEX($C$7:$C$11,Wording_Ranks!I6))</f>
        <v>0.6</v>
      </c>
      <c r="F22" s="52" t="n">
        <f aca="false">IF(OR(Wording_Ranks!M6="Not covered",Wording_Ranks!M6="Child-only"),$C$12,INDEX($C$7:$C$11,Wording_Ranks!L6))</f>
        <v>0</v>
      </c>
      <c r="G22" s="52" t="n">
        <f aca="false">IF(OR(Wording_Ranks!O6="Not covered",Wording_Ranks!O6="Child-only"),$C$12,INDEX($C$7:$C$11,Wording_Ranks!N6))</f>
        <v>0.8</v>
      </c>
    </row>
    <row r="23" customFormat="false" ht="15" hidden="false" customHeight="true" outlineLevel="0" collapsed="false">
      <c r="A23" s="40" t="n">
        <f aca="false">Wording_Ranks!A7</f>
        <v>6</v>
      </c>
      <c r="B23" s="27" t="str">
        <f aca="false">Wording_Ranks!B7</f>
        <v>Accident Cash Cover – Qualifying Injuries</v>
      </c>
      <c r="C23" s="52" t="n">
        <f aca="false">IF(OR(Wording_Ranks!F7="Not covered",Wording_Ranks!F7="Child-only"),$C$12,INDEX($C$7:$C$11,Wording_Ranks!E7))</f>
        <v>0</v>
      </c>
      <c r="D23" s="52" t="n">
        <f aca="false">IF(OR(Wording_Ranks!H7="Not covered",Wording_Ranks!H7="Child-only"),$C$12,INDEX($C$7:$C$11,Wording_Ranks!G7))</f>
        <v>1</v>
      </c>
      <c r="E23" s="52" t="n">
        <f aca="false">IF(OR(Wording_Ranks!J7="Not covered",Wording_Ranks!J7="Child-only"),$C$12,INDEX($C$7:$C$11,Wording_Ranks!I7))</f>
        <v>0</v>
      </c>
      <c r="F23" s="52" t="n">
        <f aca="false">IF(OR(Wording_Ranks!M7="Not covered",Wording_Ranks!M7="Child-only"),$C$12,INDEX($C$7:$C$11,Wording_Ranks!L7))</f>
        <v>0</v>
      </c>
      <c r="G23" s="52" t="n">
        <f aca="false">IF(OR(Wording_Ranks!O7="Not covered",Wording_Ranks!O7="Child-only"),$C$12,INDEX($C$7:$C$11,Wording_Ranks!N7))</f>
        <v>0</v>
      </c>
    </row>
    <row r="24" customFormat="false" ht="15" hidden="false" customHeight="true" outlineLevel="0" collapsed="false">
      <c r="A24" s="40" t="n">
        <f aca="false">Wording_Ranks!A8</f>
        <v>7</v>
      </c>
      <c r="B24" s="27" t="str">
        <f aca="false">Wording_Ranks!B8</f>
        <v>Serious Accident Cover (28+ days hospital)</v>
      </c>
      <c r="C24" s="52" t="n">
        <f aca="false">IF(OR(Wording_Ranks!F8="Not covered",Wording_Ranks!F8="Child-only"),$C$12,INDEX($C$7:$C$11,Wording_Ranks!E8))</f>
        <v>0.4</v>
      </c>
      <c r="D24" s="52" t="n">
        <f aca="false">IF(OR(Wording_Ranks!H8="Not covered",Wording_Ranks!H8="Child-only"),$C$12,INDEX($C$7:$C$11,Wording_Ranks!G8))</f>
        <v>1</v>
      </c>
      <c r="E24" s="52" t="n">
        <f aca="false">IF(OR(Wording_Ranks!J8="Not covered",Wording_Ranks!J8="Child-only"),$C$12,INDEX($C$7:$C$11,Wording_Ranks!I8))</f>
        <v>0.2</v>
      </c>
      <c r="F24" s="52" t="n">
        <f aca="false">IF(OR(Wording_Ranks!M8="Not covered",Wording_Ranks!M8="Child-only"),$C$12,INDEX($C$7:$C$11,Wording_Ranks!L8))</f>
        <v>0.6</v>
      </c>
      <c r="G24" s="52" t="n">
        <f aca="false">IF(OR(Wording_Ranks!O8="Not covered",Wording_Ranks!O8="Child-only"),$C$12,INDEX($C$7:$C$11,Wording_Ranks!N8))</f>
        <v>0.8</v>
      </c>
    </row>
    <row r="25" customFormat="false" ht="15" hidden="false" customHeight="true" outlineLevel="0" collapsed="false">
      <c r="A25" s="40" t="n">
        <f aca="false">Wording_Ranks!A9</f>
        <v>8</v>
      </c>
      <c r="B25" s="27" t="str">
        <f aca="false">Wording_Ranks!B9</f>
        <v>Systemic Lupus Erythematosus (SLE) – with Severe Complications</v>
      </c>
      <c r="C25" s="52" t="n">
        <f aca="false">IF(OR(Wording_Ranks!F9="Not covered",Wording_Ranks!F9="Child-only"),$C$12,INDEX($C$7:$C$11,Wording_Ranks!E9))</f>
        <v>1</v>
      </c>
      <c r="D25" s="52" t="n">
        <f aca="false">IF(OR(Wording_Ranks!H9="Not covered",Wording_Ranks!H9="Child-only"),$C$12,INDEX($C$7:$C$11,Wording_Ranks!G9))</f>
        <v>0.6</v>
      </c>
      <c r="E25" s="52" t="n">
        <f aca="false">IF(OR(Wording_Ranks!J9="Not covered",Wording_Ranks!J9="Child-only"),$C$12,INDEX($C$7:$C$11,Wording_Ranks!I9))</f>
        <v>0.2</v>
      </c>
      <c r="F25" s="52" t="n">
        <f aca="false">IF(OR(Wording_Ranks!M9="Not covered",Wording_Ranks!M9="Child-only"),$C$12,INDEX($C$7:$C$11,Wording_Ranks!L9))</f>
        <v>0.4</v>
      </c>
      <c r="G25" s="52" t="n">
        <f aca="false">IF(OR(Wording_Ranks!O9="Not covered",Wording_Ranks!O9="Child-only"),$C$12,INDEX($C$7:$C$11,Wording_Ranks!N9))</f>
        <v>0.8</v>
      </c>
    </row>
    <row r="26" customFormat="false" ht="15" hidden="false" customHeight="true" outlineLevel="0" collapsed="false">
      <c r="A26" s="40" t="n">
        <f aca="false">Wording_Ranks!A10</f>
        <v>9</v>
      </c>
      <c r="B26" s="27" t="str">
        <f aca="false">Wording_Ranks!B10</f>
        <v>Chronic / Severe Rheumatoid Arthritis</v>
      </c>
      <c r="C26" s="52" t="n">
        <f aca="false">IF(OR(Wording_Ranks!F10="Not covered",Wording_Ranks!F10="Child-only"),$C$12,INDEX($C$7:$C$11,Wording_Ranks!E10))</f>
        <v>0</v>
      </c>
      <c r="D26" s="52" t="n">
        <f aca="false">IF(OR(Wording_Ranks!H10="Not covered",Wording_Ranks!H10="Child-only"),$C$12,INDEX($C$7:$C$11,Wording_Ranks!G10))</f>
        <v>0</v>
      </c>
      <c r="E26" s="52" t="n">
        <f aca="false">IF(OR(Wording_Ranks!J10="Not covered",Wording_Ranks!J10="Child-only"),$C$12,INDEX($C$7:$C$11,Wording_Ranks!I10))</f>
        <v>0</v>
      </c>
      <c r="F26" s="52" t="n">
        <f aca="false">IF(OR(Wording_Ranks!M10="Not covered",Wording_Ranks!M10="Child-only"),$C$12,INDEX($C$7:$C$11,Wording_Ranks!L10))</f>
        <v>1</v>
      </c>
      <c r="G26" s="52" t="n">
        <f aca="false">IF(OR(Wording_Ranks!O10="Not covered",Wording_Ranks!O10="Child-only"),$C$12,INDEX($C$7:$C$11,Wording_Ranks!N10))</f>
        <v>0</v>
      </c>
    </row>
    <row r="27" customFormat="false" ht="15" hidden="false" customHeight="true" outlineLevel="0" collapsed="false">
      <c r="A27" s="40" t="n">
        <f aca="false">Wording_Ranks!A11</f>
        <v>10</v>
      </c>
      <c r="B27" s="27" t="str">
        <f aca="false">Wording_Ranks!B11</f>
        <v>Aorta Graft Surgery</v>
      </c>
      <c r="C27" s="52" t="n">
        <f aca="false">IF(OR(Wording_Ranks!F11="Not covered",Wording_Ranks!F11="Child-only"),$C$12,INDEX($C$7:$C$11,Wording_Ranks!E11))</f>
        <v>0.6</v>
      </c>
      <c r="D27" s="52" t="n">
        <f aca="false">IF(OR(Wording_Ranks!H11="Not covered",Wording_Ranks!H11="Child-only"),$C$12,INDEX($C$7:$C$11,Wording_Ranks!G11))</f>
        <v>1</v>
      </c>
      <c r="E27" s="52" t="n">
        <f aca="false">IF(OR(Wording_Ranks!J11="Not covered",Wording_Ranks!J11="Child-only"),$C$12,INDEX($C$7:$C$11,Wording_Ranks!I11))</f>
        <v>0.2</v>
      </c>
      <c r="F27" s="52" t="n">
        <f aca="false">IF(OR(Wording_Ranks!M11="Not covered",Wording_Ranks!M11="Child-only"),$C$12,INDEX($C$7:$C$11,Wording_Ranks!L11))</f>
        <v>0.8</v>
      </c>
      <c r="G27" s="52" t="n">
        <f aca="false">IF(OR(Wording_Ranks!O11="Not covered",Wording_Ranks!O11="Child-only"),$C$12,INDEX($C$7:$C$11,Wording_Ranks!N11))</f>
        <v>0.4</v>
      </c>
    </row>
    <row r="28" customFormat="false" ht="15" hidden="false" customHeight="true" outlineLevel="0" collapsed="false">
      <c r="A28" s="40" t="n">
        <f aca="false">Wording_Ranks!A12</f>
        <v>11</v>
      </c>
      <c r="B28" s="27" t="str">
        <f aca="false">Wording_Ranks!B12</f>
        <v>Aortic Aneurysm – Endovascular Repair (Partial)</v>
      </c>
      <c r="C28" s="52" t="n">
        <f aca="false">IF(OR(Wording_Ranks!F12="Not covered",Wording_Ranks!F12="Child-only"),$C$12,INDEX($C$7:$C$11,Wording_Ranks!E12))</f>
        <v>0.6</v>
      </c>
      <c r="D28" s="52" t="n">
        <f aca="false">IF(OR(Wording_Ranks!H12="Not covered",Wording_Ranks!H12="Child-only"),$C$12,INDEX($C$7:$C$11,Wording_Ranks!G12))</f>
        <v>0.4</v>
      </c>
      <c r="E28" s="52" t="n">
        <f aca="false">IF(OR(Wording_Ranks!J12="Not covered",Wording_Ranks!J12="Child-only"),$C$12,INDEX($C$7:$C$11,Wording_Ranks!I12))</f>
        <v>0.2</v>
      </c>
      <c r="F28" s="52" t="n">
        <f aca="false">IF(OR(Wording_Ranks!M12="Not covered",Wording_Ranks!M12="Child-only"),$C$12,INDEX($C$7:$C$11,Wording_Ranks!L12))</f>
        <v>0.8</v>
      </c>
      <c r="G28" s="52" t="n">
        <f aca="false">IF(OR(Wording_Ranks!O12="Not covered",Wording_Ranks!O12="Child-only"),$C$12,INDEX($C$7:$C$11,Wording_Ranks!N12))</f>
        <v>1</v>
      </c>
    </row>
    <row r="29" customFormat="false" ht="15" hidden="false" customHeight="true" outlineLevel="0" collapsed="false">
      <c r="A29" s="40" t="n">
        <f aca="false">Wording_Ranks!A13</f>
        <v>12</v>
      </c>
      <c r="B29" s="27" t="str">
        <f aca="false">Wording_Ranks!B13</f>
        <v>Balloon Valvuloplasty</v>
      </c>
      <c r="C29" s="52" t="n">
        <f aca="false">IF(OR(Wording_Ranks!F13="Not covered",Wording_Ranks!F13="Child-only"),$C$12,INDEX($C$7:$C$11,Wording_Ranks!E13))</f>
        <v>1</v>
      </c>
      <c r="D29" s="52" t="n">
        <f aca="false">IF(OR(Wording_Ranks!H13="Not covered",Wording_Ranks!H13="Child-only"),$C$12,INDEX($C$7:$C$11,Wording_Ranks!G13))</f>
        <v>0</v>
      </c>
      <c r="E29" s="52" t="n">
        <f aca="false">IF(OR(Wording_Ranks!J13="Not covered",Wording_Ranks!J13="Child-only"),$C$12,INDEX($C$7:$C$11,Wording_Ranks!I13))</f>
        <v>0.4</v>
      </c>
      <c r="F29" s="52" t="n">
        <f aca="false">IF(OR(Wording_Ranks!M13="Not covered",Wording_Ranks!M13="Child-only"),$C$12,INDEX($C$7:$C$11,Wording_Ranks!L13))</f>
        <v>0.8</v>
      </c>
      <c r="G29" s="52" t="n">
        <f aca="false">IF(OR(Wording_Ranks!O13="Not covered",Wording_Ranks!O13="Child-only"),$C$12,INDEX($C$7:$C$11,Wording_Ranks!N13))</f>
        <v>0.6</v>
      </c>
    </row>
    <row r="30" customFormat="false" ht="15" hidden="false" customHeight="true" outlineLevel="0" collapsed="false">
      <c r="A30" s="40" t="n">
        <f aca="false">Wording_Ranks!A14</f>
        <v>13</v>
      </c>
      <c r="B30" s="27" t="str">
        <f aca="false">Wording_Ranks!B14</f>
        <v>Cardiac Arrest with Defibrillator Insertion</v>
      </c>
      <c r="C30" s="52" t="n">
        <f aca="false">IF(OR(Wording_Ranks!F14="Not covered",Wording_Ranks!F14="Child-only"),$C$12,INDEX($C$7:$C$11,Wording_Ranks!E14))</f>
        <v>0.4</v>
      </c>
      <c r="D30" s="52" t="n">
        <f aca="false">IF(OR(Wording_Ranks!H14="Not covered",Wording_Ranks!H14="Child-only"),$C$12,INDEX($C$7:$C$11,Wording_Ranks!G14))</f>
        <v>1</v>
      </c>
      <c r="E30" s="52" t="n">
        <f aca="false">IF(OR(Wording_Ranks!J14="Not covered",Wording_Ranks!J14="Child-only"),$C$12,INDEX($C$7:$C$11,Wording_Ranks!I14))</f>
        <v>0.2</v>
      </c>
      <c r="F30" s="52" t="n">
        <f aca="false">IF(OR(Wording_Ranks!M14="Not covered",Wording_Ranks!M14="Child-only"),$C$12,INDEX($C$7:$C$11,Wording_Ranks!L14))</f>
        <v>0.6</v>
      </c>
      <c r="G30" s="52" t="n">
        <f aca="false">IF(OR(Wording_Ranks!O14="Not covered",Wording_Ranks!O14="Child-only"),$C$12,INDEX($C$7:$C$11,Wording_Ranks!N14))</f>
        <v>0.8</v>
      </c>
    </row>
    <row r="31" customFormat="false" ht="15" hidden="false" customHeight="true" outlineLevel="0" collapsed="false">
      <c r="A31" s="40" t="n">
        <f aca="false">Wording_Ranks!A15</f>
        <v>14</v>
      </c>
      <c r="B31" s="27" t="str">
        <f aca="false">Wording_Ranks!B15</f>
        <v>Cardiomyopathy – of Specified Severity</v>
      </c>
      <c r="C31" s="52" t="n">
        <f aca="false">IF(OR(Wording_Ranks!F15="Not covered",Wording_Ranks!F15="Child-only"),$C$12,INDEX($C$7:$C$11,Wording_Ranks!E15))</f>
        <v>1</v>
      </c>
      <c r="D31" s="52" t="n">
        <f aca="false">IF(OR(Wording_Ranks!H15="Not covered",Wording_Ranks!H15="Child-only"),$C$12,INDEX($C$7:$C$11,Wording_Ranks!G15))</f>
        <v>0.6</v>
      </c>
      <c r="E31" s="52" t="n">
        <f aca="false">IF(OR(Wording_Ranks!J15="Not covered",Wording_Ranks!J15="Child-only"),$C$12,INDEX($C$7:$C$11,Wording_Ranks!I15))</f>
        <v>0.2</v>
      </c>
      <c r="F31" s="52" t="n">
        <f aca="false">IF(OR(Wording_Ranks!M15="Not covered",Wording_Ranks!M15="Child-only"),$C$12,INDEX($C$7:$C$11,Wording_Ranks!L15))</f>
        <v>0.4</v>
      </c>
      <c r="G31" s="52" t="n">
        <f aca="false">IF(OR(Wording_Ranks!O15="Not covered",Wording_Ranks!O15="Child-only"),$C$12,INDEX($C$7:$C$11,Wording_Ranks!N15))</f>
        <v>0.8</v>
      </c>
    </row>
    <row r="32" customFormat="false" ht="15" hidden="false" customHeight="true" outlineLevel="0" collapsed="false">
      <c r="A32" s="40" t="n">
        <f aca="false">Wording_Ranks!A16</f>
        <v>15</v>
      </c>
      <c r="B32" s="27" t="str">
        <f aca="false">Wording_Ranks!B16</f>
        <v>Carotid Artery Stenosis – Treated by Endarterectomy or Angioplasty</v>
      </c>
      <c r="C32" s="52" t="n">
        <f aca="false">IF(OR(Wording_Ranks!F16="Not covered",Wording_Ranks!F16="Child-only"),$C$12,INDEX($C$7:$C$11,Wording_Ranks!E16))</f>
        <v>0.6</v>
      </c>
      <c r="D32" s="52" t="n">
        <f aca="false">IF(OR(Wording_Ranks!H16="Not covered",Wording_Ranks!H16="Child-only"),$C$12,INDEX($C$7:$C$11,Wording_Ranks!G16))</f>
        <v>0.4</v>
      </c>
      <c r="E32" s="52" t="n">
        <f aca="false">IF(OR(Wording_Ranks!J16="Not covered",Wording_Ranks!J16="Child-only"),$C$12,INDEX($C$7:$C$11,Wording_Ranks!I16))</f>
        <v>0.2</v>
      </c>
      <c r="F32" s="52" t="n">
        <f aca="false">IF(OR(Wording_Ranks!M16="Not covered",Wording_Ranks!M16="Child-only"),$C$12,INDEX($C$7:$C$11,Wording_Ranks!L16))</f>
        <v>0.8</v>
      </c>
      <c r="G32" s="52" t="n">
        <f aca="false">IF(OR(Wording_Ranks!O16="Not covered",Wording_Ranks!O16="Child-only"),$C$12,INDEX($C$7:$C$11,Wording_Ranks!N16))</f>
        <v>1</v>
      </c>
    </row>
    <row r="33" customFormat="false" ht="15" hidden="false" customHeight="true" outlineLevel="0" collapsed="false">
      <c r="A33" s="40" t="n">
        <f aca="false">Wording_Ranks!A17</f>
        <v>16</v>
      </c>
      <c r="B33" s="27" t="str">
        <f aca="false">Wording_Ranks!B17</f>
        <v>Coronary Angioplasty (Partial Payment)</v>
      </c>
      <c r="C33" s="52" t="n">
        <f aca="false">IF(OR(Wording_Ranks!F17="Not covered",Wording_Ranks!F17="Child-only"),$C$12,INDEX($C$7:$C$11,Wording_Ranks!E17))</f>
        <v>1</v>
      </c>
      <c r="D33" s="52" t="n">
        <f aca="false">IF(OR(Wording_Ranks!H17="Not covered",Wording_Ranks!H17="Child-only"),$C$12,INDEX($C$7:$C$11,Wording_Ranks!G17))</f>
        <v>0.4</v>
      </c>
      <c r="E33" s="52" t="n">
        <f aca="false">IF(OR(Wording_Ranks!J17="Not covered",Wording_Ranks!J17="Child-only"),$C$12,INDEX($C$7:$C$11,Wording_Ranks!I17))</f>
        <v>0.2</v>
      </c>
      <c r="F33" s="52" t="n">
        <f aca="false">IF(OR(Wording_Ranks!M17="Not covered",Wording_Ranks!M17="Child-only"),$C$12,INDEX($C$7:$C$11,Wording_Ranks!L17))</f>
        <v>0.8</v>
      </c>
      <c r="G33" s="52" t="n">
        <f aca="false">IF(OR(Wording_Ranks!O17="Not covered",Wording_Ranks!O17="Child-only"),$C$12,INDEX($C$7:$C$11,Wording_Ranks!N17))</f>
        <v>0.6</v>
      </c>
    </row>
    <row r="34" customFormat="false" ht="15" hidden="false" customHeight="true" outlineLevel="0" collapsed="false">
      <c r="A34" s="40" t="n">
        <f aca="false">Wording_Ranks!A18</f>
        <v>17</v>
      </c>
      <c r="B34" s="27" t="str">
        <f aca="false">Wording_Ranks!B18</f>
        <v>Coronary Angioplasty – Single Vessel</v>
      </c>
      <c r="C34" s="52" t="n">
        <f aca="false">IF(OR(Wording_Ranks!F18="Not covered",Wording_Ranks!F18="Child-only"),$C$12,INDEX($C$7:$C$11,Wording_Ranks!E18))</f>
        <v>1</v>
      </c>
      <c r="D34" s="52" t="n">
        <f aca="false">IF(OR(Wording_Ranks!H18="Not covered",Wording_Ranks!H18="Child-only"),$C$12,INDEX($C$7:$C$11,Wording_Ranks!G18))</f>
        <v>0.4</v>
      </c>
      <c r="E34" s="52" t="n">
        <f aca="false">IF(OR(Wording_Ranks!J18="Not covered",Wording_Ranks!J18="Child-only"),$C$12,INDEX($C$7:$C$11,Wording_Ranks!I18))</f>
        <v>0.2</v>
      </c>
      <c r="F34" s="52" t="n">
        <f aca="false">IF(OR(Wording_Ranks!M18="Not covered",Wording_Ranks!M18="Child-only"),$C$12,INDEX($C$7:$C$11,Wording_Ranks!L18))</f>
        <v>0.8</v>
      </c>
      <c r="G34" s="52" t="n">
        <f aca="false">IF(OR(Wording_Ranks!O18="Not covered",Wording_Ranks!O18="Child-only"),$C$12,INDEX($C$7:$C$11,Wording_Ranks!N18))</f>
        <v>0.6</v>
      </c>
    </row>
    <row r="35" customFormat="false" ht="15" hidden="false" customHeight="true" outlineLevel="0" collapsed="false">
      <c r="A35" s="40" t="n">
        <f aca="false">Wording_Ranks!A19</f>
        <v>18</v>
      </c>
      <c r="B35" s="27" t="str">
        <f aca="false">Wording_Ranks!B19</f>
        <v>Coronary Angioplasty – Two or More Vessels</v>
      </c>
      <c r="C35" s="52" t="n">
        <f aca="false">IF(OR(Wording_Ranks!F19="Not covered",Wording_Ranks!F19="Child-only"),$C$12,INDEX($C$7:$C$11,Wording_Ranks!E19))</f>
        <v>1</v>
      </c>
      <c r="D35" s="52" t="n">
        <f aca="false">IF(OR(Wording_Ranks!H19="Not covered",Wording_Ranks!H19="Child-only"),$C$12,INDEX($C$7:$C$11,Wording_Ranks!G19))</f>
        <v>0.4</v>
      </c>
      <c r="E35" s="52" t="n">
        <f aca="false">IF(OR(Wording_Ranks!J19="Not covered",Wording_Ranks!J19="Child-only"),$C$12,INDEX($C$7:$C$11,Wording_Ranks!I19))</f>
        <v>0.2</v>
      </c>
      <c r="F35" s="52" t="n">
        <f aca="false">IF(OR(Wording_Ranks!M19="Not covered",Wording_Ranks!M19="Child-only"),$C$12,INDEX($C$7:$C$11,Wording_Ranks!L19))</f>
        <v>0.8</v>
      </c>
      <c r="G35" s="52" t="n">
        <f aca="false">IF(OR(Wording_Ranks!O19="Not covered",Wording_Ranks!O19="Child-only"),$C$12,INDEX($C$7:$C$11,Wording_Ranks!N19))</f>
        <v>0.6</v>
      </c>
    </row>
    <row r="36" customFormat="false" ht="15" hidden="false" customHeight="true" outlineLevel="0" collapsed="false">
      <c r="A36" s="40" t="n">
        <f aca="false">Wording_Ranks!A20</f>
        <v>19</v>
      </c>
      <c r="B36" s="27" t="str">
        <f aca="false">Wording_Ranks!B20</f>
        <v>Coronary Artery Bypass Graft (CABG) – Open Surgery</v>
      </c>
      <c r="C36" s="52" t="n">
        <f aca="false">IF(OR(Wording_Ranks!F20="Not covered",Wording_Ranks!F20="Child-only"),$C$12,INDEX($C$7:$C$11,Wording_Ranks!E20))</f>
        <v>0.8</v>
      </c>
      <c r="D36" s="52" t="n">
        <f aca="false">IF(OR(Wording_Ranks!H20="Not covered",Wording_Ranks!H20="Child-only"),$C$12,INDEX($C$7:$C$11,Wording_Ranks!G20))</f>
        <v>0.6</v>
      </c>
      <c r="E36" s="52" t="n">
        <f aca="false">IF(OR(Wording_Ranks!J20="Not covered",Wording_Ranks!J20="Child-only"),$C$12,INDEX($C$7:$C$11,Wording_Ranks!I20))</f>
        <v>0.2</v>
      </c>
      <c r="F36" s="52" t="n">
        <f aca="false">IF(OR(Wording_Ranks!M20="Not covered",Wording_Ranks!M20="Child-only"),$C$12,INDEX($C$7:$C$11,Wording_Ranks!L20))</f>
        <v>0.4</v>
      </c>
      <c r="G36" s="52" t="n">
        <f aca="false">IF(OR(Wording_Ranks!O20="Not covered",Wording_Ranks!O20="Child-only"),$C$12,INDEX($C$7:$C$11,Wording_Ranks!N20))</f>
        <v>1</v>
      </c>
    </row>
    <row r="37" customFormat="false" ht="15" hidden="false" customHeight="true" outlineLevel="0" collapsed="false">
      <c r="A37" s="40" t="n">
        <f aca="false">Wording_Ranks!A21</f>
        <v>20</v>
      </c>
      <c r="B37" s="27" t="str">
        <f aca="false">Wording_Ranks!B21</f>
        <v>Heart Attack – of Specified Severity</v>
      </c>
      <c r="C37" s="52" t="n">
        <f aca="false">IF(OR(Wording_Ranks!F21="Not covered",Wording_Ranks!F21="Child-only"),$C$12,INDEX($C$7:$C$11,Wording_Ranks!E21))</f>
        <v>0.2</v>
      </c>
      <c r="D37" s="52" t="n">
        <f aca="false">IF(OR(Wording_Ranks!H21="Not covered",Wording_Ranks!H21="Child-only"),$C$12,INDEX($C$7:$C$11,Wording_Ranks!G21))</f>
        <v>0.8</v>
      </c>
      <c r="E37" s="52" t="n">
        <f aca="false">IF(OR(Wording_Ranks!J21="Not covered",Wording_Ranks!J21="Child-only"),$C$12,INDEX($C$7:$C$11,Wording_Ranks!I21))</f>
        <v>0.4</v>
      </c>
      <c r="F37" s="52" t="n">
        <f aca="false">IF(OR(Wording_Ranks!M21="Not covered",Wording_Ranks!M21="Child-only"),$C$12,INDEX($C$7:$C$11,Wording_Ranks!L21))</f>
        <v>0.6</v>
      </c>
      <c r="G37" s="52" t="n">
        <f aca="false">IF(OR(Wording_Ranks!O21="Not covered",Wording_Ranks!O21="Child-only"),$C$12,INDEX($C$7:$C$11,Wording_Ranks!N21))</f>
        <v>1</v>
      </c>
    </row>
    <row r="38" customFormat="false" ht="15" hidden="false" customHeight="true" outlineLevel="0" collapsed="false">
      <c r="A38" s="40" t="n">
        <f aca="false">Wording_Ranks!A22</f>
        <v>21</v>
      </c>
      <c r="B38" s="27" t="str">
        <f aca="false">Wording_Ranks!B22</f>
        <v>Heart Failure</v>
      </c>
      <c r="C38" s="52" t="n">
        <f aca="false">IF(OR(Wording_Ranks!F22="Not covered",Wording_Ranks!F22="Child-only"),$C$12,INDEX($C$7:$C$11,Wording_Ranks!E22))</f>
        <v>0</v>
      </c>
      <c r="D38" s="52" t="n">
        <f aca="false">IF(OR(Wording_Ranks!H22="Not covered",Wording_Ranks!H22="Child-only"),$C$12,INDEX($C$7:$C$11,Wording_Ranks!G22))</f>
        <v>0</v>
      </c>
      <c r="E38" s="52" t="n">
        <f aca="false">IF(OR(Wording_Ranks!J22="Not covered",Wording_Ranks!J22="Child-only"),$C$12,INDEX($C$7:$C$11,Wording_Ranks!I22))</f>
        <v>0</v>
      </c>
      <c r="F38" s="52" t="n">
        <f aca="false">IF(OR(Wording_Ranks!M22="Not covered",Wording_Ranks!M22="Child-only"),$C$12,INDEX($C$7:$C$11,Wording_Ranks!L22))</f>
        <v>1</v>
      </c>
      <c r="G38" s="52" t="n">
        <f aca="false">IF(OR(Wording_Ranks!O22="Not covered",Wording_Ranks!O22="Child-only"),$C$12,INDEX($C$7:$C$11,Wording_Ranks!N22))</f>
        <v>0</v>
      </c>
    </row>
    <row r="39" customFormat="false" ht="15" hidden="false" customHeight="true" outlineLevel="0" collapsed="false">
      <c r="A39" s="40" t="n">
        <f aca="false">Wording_Ranks!A23</f>
        <v>22</v>
      </c>
      <c r="B39" s="27" t="str">
        <f aca="false">Wording_Ranks!B23</f>
        <v>Heart Structural Repair</v>
      </c>
      <c r="C39" s="52" t="n">
        <f aca="false">IF(OR(Wording_Ranks!F23="Not covered",Wording_Ranks!F23="Child-only"),$C$12,INDEX($C$7:$C$11,Wording_Ranks!E23))</f>
        <v>0</v>
      </c>
      <c r="D39" s="52" t="n">
        <f aca="false">IF(OR(Wording_Ranks!H23="Not covered",Wording_Ranks!H23="Child-only"),$C$12,INDEX($C$7:$C$11,Wording_Ranks!G23))</f>
        <v>1</v>
      </c>
      <c r="E39" s="52" t="n">
        <f aca="false">IF(OR(Wording_Ranks!J23="Not covered",Wording_Ranks!J23="Child-only"),$C$12,INDEX($C$7:$C$11,Wording_Ranks!I23))</f>
        <v>0.4</v>
      </c>
      <c r="F39" s="52" t="n">
        <f aca="false">IF(OR(Wording_Ranks!M23="Not covered",Wording_Ranks!M23="Child-only"),$C$12,INDEX($C$7:$C$11,Wording_Ranks!L23))</f>
        <v>0.8</v>
      </c>
      <c r="G39" s="52" t="n">
        <f aca="false">IF(OR(Wording_Ranks!O23="Not covered",Wording_Ranks!O23="Child-only"),$C$12,INDEX($C$7:$C$11,Wording_Ranks!N23))</f>
        <v>0.6</v>
      </c>
    </row>
    <row r="40" customFormat="false" ht="15" hidden="false" customHeight="true" outlineLevel="0" collapsed="false">
      <c r="A40" s="40" t="n">
        <f aca="false">Wording_Ranks!A24</f>
        <v>23</v>
      </c>
      <c r="B40" s="27" t="str">
        <f aca="false">Wording_Ranks!B24</f>
        <v>Heart Valve Replacement or Repair</v>
      </c>
      <c r="C40" s="52" t="n">
        <f aca="false">IF(OR(Wording_Ranks!F24="Not covered",Wording_Ranks!F24="Child-only"),$C$12,INDEX($C$7:$C$11,Wording_Ranks!E24))</f>
        <v>1</v>
      </c>
      <c r="D40" s="52" t="n">
        <f aca="false">IF(OR(Wording_Ranks!H24="Not covered",Wording_Ranks!H24="Child-only"),$C$12,INDEX($C$7:$C$11,Wording_Ranks!G24))</f>
        <v>0.8</v>
      </c>
      <c r="E40" s="52" t="n">
        <f aca="false">IF(OR(Wording_Ranks!J24="Not covered",Wording_Ranks!J24="Child-only"),$C$12,INDEX($C$7:$C$11,Wording_Ranks!I24))</f>
        <v>0.2</v>
      </c>
      <c r="F40" s="52" t="n">
        <f aca="false">IF(OR(Wording_Ranks!M24="Not covered",Wording_Ranks!M24="Child-only"),$C$12,INDEX($C$7:$C$11,Wording_Ranks!L24))</f>
        <v>0.6</v>
      </c>
      <c r="G40" s="52" t="n">
        <f aca="false">IF(OR(Wording_Ranks!O24="Not covered",Wording_Ranks!O24="Child-only"),$C$12,INDEX($C$7:$C$11,Wording_Ranks!N24))</f>
        <v>0.4</v>
      </c>
    </row>
    <row r="41" customFormat="false" ht="15" hidden="false" customHeight="true" outlineLevel="0" collapsed="false">
      <c r="A41" s="40" t="n">
        <f aca="false">Wording_Ranks!A25</f>
        <v>24</v>
      </c>
      <c r="B41" s="27" t="str">
        <f aca="false">Wording_Ranks!B25</f>
        <v>Implantable Cardioverter Defibrillator (ICD) – for Primary Prevention</v>
      </c>
      <c r="C41" s="52" t="n">
        <f aca="false">IF(OR(Wording_Ranks!F25="Not covered",Wording_Ranks!F25="Child-only"),$C$12,INDEX($C$7:$C$11,Wording_Ranks!E25))</f>
        <v>1</v>
      </c>
      <c r="D41" s="52" t="n">
        <f aca="false">IF(OR(Wording_Ranks!H25="Not covered",Wording_Ranks!H25="Child-only"),$C$12,INDEX($C$7:$C$11,Wording_Ranks!G25))</f>
        <v>0.4</v>
      </c>
      <c r="E41" s="52" t="n">
        <f aca="false">IF(OR(Wording_Ranks!J25="Not covered",Wording_Ranks!J25="Child-only"),$C$12,INDEX($C$7:$C$11,Wording_Ranks!I25))</f>
        <v>0.2</v>
      </c>
      <c r="F41" s="52" t="n">
        <f aca="false">IF(OR(Wording_Ranks!M25="Not covered",Wording_Ranks!M25="Child-only"),$C$12,INDEX($C$7:$C$11,Wording_Ranks!L25))</f>
        <v>0.6</v>
      </c>
      <c r="G41" s="52" t="n">
        <f aca="false">IF(OR(Wording_Ranks!O25="Not covered",Wording_Ranks!O25="Child-only"),$C$12,INDEX($C$7:$C$11,Wording_Ranks!N25))</f>
        <v>0.8</v>
      </c>
    </row>
    <row r="42" customFormat="false" ht="15" hidden="false" customHeight="true" outlineLevel="0" collapsed="false">
      <c r="A42" s="40" t="n">
        <f aca="false">Wording_Ranks!A26</f>
        <v>25</v>
      </c>
      <c r="B42" s="27" t="str">
        <f aca="false">Wording_Ranks!B26</f>
        <v>Open Heart Surgery – with Surgery to Divide the Breastbone</v>
      </c>
      <c r="C42" s="52" t="n">
        <f aca="false">IF(OR(Wording_Ranks!F26="Not covered",Wording_Ranks!F26="Child-only"),$C$12,INDEX($C$7:$C$11,Wording_Ranks!E26))</f>
        <v>1</v>
      </c>
      <c r="D42" s="52" t="n">
        <f aca="false">IF(OR(Wording_Ranks!H26="Not covered",Wording_Ranks!H26="Child-only"),$C$12,INDEX($C$7:$C$11,Wording_Ranks!G26))</f>
        <v>0</v>
      </c>
      <c r="E42" s="52" t="n">
        <f aca="false">IF(OR(Wording_Ranks!J26="Not covered",Wording_Ranks!J26="Child-only"),$C$12,INDEX($C$7:$C$11,Wording_Ranks!I26))</f>
        <v>0</v>
      </c>
      <c r="F42" s="52" t="n">
        <f aca="false">IF(OR(Wording_Ranks!M26="Not covered",Wording_Ranks!M26="Child-only"),$C$12,INDEX($C$7:$C$11,Wording_Ranks!L26))</f>
        <v>0</v>
      </c>
      <c r="G42" s="52" t="n">
        <f aca="false">IF(OR(Wording_Ranks!O26="Not covered",Wording_Ranks!O26="Child-only"),$C$12,INDEX($C$7:$C$11,Wording_Ranks!N26))</f>
        <v>0</v>
      </c>
    </row>
    <row r="43" customFormat="false" ht="15" hidden="false" customHeight="true" outlineLevel="0" collapsed="false">
      <c r="A43" s="40" t="n">
        <f aca="false">Wording_Ranks!A27</f>
        <v>26</v>
      </c>
      <c r="B43" s="27" t="str">
        <f aca="false">Wording_Ranks!B27</f>
        <v>Peripheral Vascular Disease – with Surgery or Angioplasty</v>
      </c>
      <c r="C43" s="52" t="n">
        <f aca="false">IF(OR(Wording_Ranks!F27="Not covered",Wording_Ranks!F27="Child-only"),$C$12,INDEX($C$7:$C$11,Wording_Ranks!E27))</f>
        <v>0.6</v>
      </c>
      <c r="D43" s="52" t="n">
        <f aca="false">IF(OR(Wording_Ranks!H27="Not covered",Wording_Ranks!H27="Child-only"),$C$12,INDEX($C$7:$C$11,Wording_Ranks!G27))</f>
        <v>0.4</v>
      </c>
      <c r="E43" s="52" t="n">
        <f aca="false">IF(OR(Wording_Ranks!J27="Not covered",Wording_Ranks!J27="Child-only"),$C$12,INDEX($C$7:$C$11,Wording_Ranks!I27))</f>
        <v>0.2</v>
      </c>
      <c r="F43" s="52" t="n">
        <f aca="false">IF(OR(Wording_Ranks!M27="Not covered",Wording_Ranks!M27="Child-only"),$C$12,INDEX($C$7:$C$11,Wording_Ranks!L27))</f>
        <v>1</v>
      </c>
      <c r="G43" s="52" t="n">
        <f aca="false">IF(OR(Wording_Ranks!O27="Not covered",Wording_Ranks!O27="Child-only"),$C$12,INDEX($C$7:$C$11,Wording_Ranks!N27))</f>
        <v>0.8</v>
      </c>
    </row>
    <row r="44" customFormat="false" ht="15" hidden="false" customHeight="true" outlineLevel="0" collapsed="false">
      <c r="A44" s="40" t="n">
        <f aca="false">Wording_Ranks!A28</f>
        <v>27</v>
      </c>
      <c r="B44" s="27" t="str">
        <f aca="false">Wording_Ranks!B28</f>
        <v>Permanent Pacemaker Insertion</v>
      </c>
      <c r="C44" s="52" t="n">
        <f aca="false">IF(OR(Wording_Ranks!F28="Not covered",Wording_Ranks!F28="Child-only"),$C$12,INDEX($C$7:$C$11,Wording_Ranks!E28))</f>
        <v>0</v>
      </c>
      <c r="D44" s="52" t="n">
        <f aca="false">IF(OR(Wording_Ranks!H28="Not covered",Wording_Ranks!H28="Child-only"),$C$12,INDEX($C$7:$C$11,Wording_Ranks!G28))</f>
        <v>0.6</v>
      </c>
      <c r="E44" s="52" t="n">
        <f aca="false">IF(OR(Wording_Ranks!J28="Not covered",Wording_Ranks!J28="Child-only"),$C$12,INDEX($C$7:$C$11,Wording_Ranks!I28))</f>
        <v>0.2</v>
      </c>
      <c r="F44" s="52" t="n">
        <f aca="false">IF(OR(Wording_Ranks!M28="Not covered",Wording_Ranks!M28="Child-only"),$C$12,INDEX($C$7:$C$11,Wording_Ranks!L28))</f>
        <v>0.8</v>
      </c>
      <c r="G44" s="52" t="n">
        <f aca="false">IF(OR(Wording_Ranks!O28="Not covered",Wording_Ranks!O28="Child-only"),$C$12,INDEX($C$7:$C$11,Wording_Ranks!N28))</f>
        <v>1</v>
      </c>
    </row>
    <row r="45" customFormat="false" ht="15" hidden="false" customHeight="true" outlineLevel="0" collapsed="false">
      <c r="A45" s="40" t="n">
        <f aca="false">Wording_Ranks!A29</f>
        <v>28</v>
      </c>
      <c r="B45" s="27" t="str">
        <f aca="false">Wording_Ranks!B29</f>
        <v>Pulmonary Artery Graft / Replacement Surgery</v>
      </c>
      <c r="C45" s="52" t="n">
        <f aca="false">IF(OR(Wording_Ranks!F29="Not covered",Wording_Ranks!F29="Child-only"),$C$12,INDEX($C$7:$C$11,Wording_Ranks!E29))</f>
        <v>1</v>
      </c>
      <c r="D45" s="52" t="n">
        <f aca="false">IF(OR(Wording_Ranks!H29="Not covered",Wording_Ranks!H29="Child-only"),$C$12,INDEX($C$7:$C$11,Wording_Ranks!G29))</f>
        <v>0.4</v>
      </c>
      <c r="E45" s="52" t="n">
        <f aca="false">IF(OR(Wording_Ranks!J29="Not covered",Wording_Ranks!J29="Child-only"),$C$12,INDEX($C$7:$C$11,Wording_Ranks!I29))</f>
        <v>0.2</v>
      </c>
      <c r="F45" s="52" t="n">
        <f aca="false">IF(OR(Wording_Ranks!M29="Not covered",Wording_Ranks!M29="Child-only"),$C$12,INDEX($C$7:$C$11,Wording_Ranks!L29))</f>
        <v>0.8</v>
      </c>
      <c r="G45" s="52" t="n">
        <f aca="false">IF(OR(Wording_Ranks!O29="Not covered",Wording_Ranks!O29="Child-only"),$C$12,INDEX($C$7:$C$11,Wording_Ranks!N29))</f>
        <v>0.6</v>
      </c>
    </row>
    <row r="46" customFormat="false" ht="15" hidden="false" customHeight="true" outlineLevel="0" collapsed="false">
      <c r="A46" s="40" t="n">
        <f aca="false">Wording_Ranks!A30</f>
        <v>29</v>
      </c>
      <c r="B46" s="27" t="str">
        <f aca="false">Wording_Ranks!B30</f>
        <v>Advance Payment for Heart Surgery</v>
      </c>
      <c r="C46" s="52" t="n">
        <f aca="false">IF(OR(Wording_Ranks!F30="Not covered",Wording_Ranks!F30="Child-only"),$C$12,INDEX($C$7:$C$11,Wording_Ranks!E30))</f>
        <v>0</v>
      </c>
      <c r="D46" s="52" t="n">
        <f aca="false">IF(OR(Wording_Ranks!H30="Not covered",Wording_Ranks!H30="Child-only"),$C$12,INDEX($C$7:$C$11,Wording_Ranks!G30))</f>
        <v>0</v>
      </c>
      <c r="E46" s="52" t="n">
        <f aca="false">IF(OR(Wording_Ranks!J30="Not covered",Wording_Ranks!J30="Child-only"),$C$12,INDEX($C$7:$C$11,Wording_Ranks!I30))</f>
        <v>0</v>
      </c>
      <c r="F46" s="52" t="n">
        <f aca="false">IF(OR(Wording_Ranks!M30="Not covered",Wording_Ranks!M30="Child-only"),$C$12,INDEX($C$7:$C$11,Wording_Ranks!L30))</f>
        <v>1</v>
      </c>
      <c r="G46" s="52" t="n">
        <f aca="false">IF(OR(Wording_Ranks!O30="Not covered",Wording_Ranks!O30="Child-only"),$C$12,INDEX($C$7:$C$11,Wording_Ranks!N30))</f>
        <v>0</v>
      </c>
    </row>
    <row r="47" customFormat="false" ht="15" hidden="false" customHeight="true" outlineLevel="0" collapsed="false">
      <c r="A47" s="40" t="n">
        <f aca="false">Wording_Ranks!A31</f>
        <v>30</v>
      </c>
      <c r="B47" s="27" t="str">
        <f aca="false">Wording_Ranks!B31</f>
        <v>Cerebral Aneurysm – with Surgical Repair</v>
      </c>
      <c r="C47" s="52" t="n">
        <f aca="false">IF(OR(Wording_Ranks!F31="Not covered",Wording_Ranks!F31="Child-only"),$C$12,INDEX($C$7:$C$11,Wording_Ranks!E31))</f>
        <v>0.8</v>
      </c>
      <c r="D47" s="52" t="n">
        <f aca="false">IF(OR(Wording_Ranks!H31="Not covered",Wording_Ranks!H31="Child-only"),$C$12,INDEX($C$7:$C$11,Wording_Ranks!G31))</f>
        <v>0</v>
      </c>
      <c r="E47" s="52" t="n">
        <f aca="false">IF(OR(Wording_Ranks!J31="Not covered",Wording_Ranks!J31="Child-only"),$C$12,INDEX($C$7:$C$11,Wording_Ranks!I31))</f>
        <v>0.4</v>
      </c>
      <c r="F47" s="52" t="n">
        <f aca="false">IF(OR(Wording_Ranks!M31="Not covered",Wording_Ranks!M31="Child-only"),$C$12,INDEX($C$7:$C$11,Wording_Ranks!L31))</f>
        <v>0.6</v>
      </c>
      <c r="G47" s="52" t="n">
        <f aca="false">IF(OR(Wording_Ranks!O31="Not covered",Wording_Ranks!O31="Child-only"),$C$12,INDEX($C$7:$C$11,Wording_Ranks!N31))</f>
        <v>1</v>
      </c>
    </row>
    <row r="48" customFormat="false" ht="15" hidden="false" customHeight="true" outlineLevel="0" collapsed="false">
      <c r="A48" s="40" t="n">
        <f aca="false">Wording_Ranks!A32</f>
        <v>31</v>
      </c>
      <c r="B48" s="27" t="str">
        <f aca="false">Wording_Ranks!B32</f>
        <v>Cerebral Arteriovenous Malformation – Requiring Surgery</v>
      </c>
      <c r="C48" s="52" t="n">
        <f aca="false">IF(OR(Wording_Ranks!F32="Not covered",Wording_Ranks!F32="Child-only"),$C$12,INDEX($C$7:$C$11,Wording_Ranks!E32))</f>
        <v>0.6</v>
      </c>
      <c r="D48" s="52" t="n">
        <f aca="false">IF(OR(Wording_Ranks!H32="Not covered",Wording_Ranks!H32="Child-only"),$C$12,INDEX($C$7:$C$11,Wording_Ranks!G32))</f>
        <v>0</v>
      </c>
      <c r="E48" s="52" t="n">
        <f aca="false">IF(OR(Wording_Ranks!J32="Not covered",Wording_Ranks!J32="Child-only"),$C$12,INDEX($C$7:$C$11,Wording_Ranks!I32))</f>
        <v>0.4</v>
      </c>
      <c r="F48" s="52" t="n">
        <f aca="false">IF(OR(Wording_Ranks!M32="Not covered",Wording_Ranks!M32="Child-only"),$C$12,INDEX($C$7:$C$11,Wording_Ranks!L32))</f>
        <v>0.8</v>
      </c>
      <c r="G48" s="52" t="n">
        <f aca="false">IF(OR(Wording_Ranks!O32="Not covered",Wording_Ranks!O32="Child-only"),$C$12,INDEX($C$7:$C$11,Wording_Ranks!N32))</f>
        <v>1</v>
      </c>
    </row>
    <row r="49" customFormat="false" ht="15" hidden="false" customHeight="true" outlineLevel="0" collapsed="false">
      <c r="A49" s="40" t="n">
        <f aca="false">Wording_Ranks!A33</f>
        <v>32</v>
      </c>
      <c r="B49" s="27" t="str">
        <f aca="false">Wording_Ranks!B33</f>
        <v>Cerebral or Spinal Aneurysm – with Surgical Repair</v>
      </c>
      <c r="C49" s="52" t="n">
        <f aca="false">IF(OR(Wording_Ranks!F33="Not covered",Wording_Ranks!F33="Child-only"),$C$12,INDEX($C$7:$C$11,Wording_Ranks!E33))</f>
        <v>0</v>
      </c>
      <c r="D49" s="52" t="n">
        <f aca="false">IF(OR(Wording_Ranks!H33="Not covered",Wording_Ranks!H33="Child-only"),$C$12,INDEX($C$7:$C$11,Wording_Ranks!G33))</f>
        <v>0.8</v>
      </c>
      <c r="E49" s="52" t="n">
        <f aca="false">IF(OR(Wording_Ranks!J33="Not covered",Wording_Ranks!J33="Child-only"),$C$12,INDEX($C$7:$C$11,Wording_Ranks!I33))</f>
        <v>0.2</v>
      </c>
      <c r="F49" s="52" t="n">
        <f aca="false">IF(OR(Wording_Ranks!M33="Not covered",Wording_Ranks!M33="Child-only"),$C$12,INDEX($C$7:$C$11,Wording_Ranks!L33))</f>
        <v>1</v>
      </c>
      <c r="G49" s="52" t="n">
        <f aca="false">IF(OR(Wording_Ranks!O33="Not covered",Wording_Ranks!O33="Child-only"),$C$12,INDEX($C$7:$C$11,Wording_Ranks!N33))</f>
        <v>0</v>
      </c>
    </row>
    <row r="50" customFormat="false" ht="15" hidden="false" customHeight="true" outlineLevel="0" collapsed="false">
      <c r="A50" s="40" t="n">
        <f aca="false">Wording_Ranks!A34</f>
        <v>33</v>
      </c>
      <c r="B50" s="27" t="str">
        <f aca="false">Wording_Ranks!B34</f>
        <v>Cerebral or Spinal Arteriovenous Malformation – Requiring Surgery</v>
      </c>
      <c r="C50" s="52" t="n">
        <f aca="false">IF(OR(Wording_Ranks!F34="Not covered",Wording_Ranks!F34="Child-only"),$C$12,INDEX($C$7:$C$11,Wording_Ranks!E34))</f>
        <v>0</v>
      </c>
      <c r="D50" s="52" t="n">
        <f aca="false">IF(OR(Wording_Ranks!H34="Not covered",Wording_Ranks!H34="Child-only"),$C$12,INDEX($C$7:$C$11,Wording_Ranks!G34))</f>
        <v>0.8</v>
      </c>
      <c r="E50" s="52" t="n">
        <f aca="false">IF(OR(Wording_Ranks!J34="Not covered",Wording_Ranks!J34="Child-only"),$C$12,INDEX($C$7:$C$11,Wording_Ranks!I34))</f>
        <v>0</v>
      </c>
      <c r="F50" s="52" t="n">
        <f aca="false">IF(OR(Wording_Ranks!M34="Not covered",Wording_Ranks!M34="Child-only"),$C$12,INDEX($C$7:$C$11,Wording_Ranks!L34))</f>
        <v>1</v>
      </c>
      <c r="G50" s="52" t="n">
        <f aca="false">IF(OR(Wording_Ranks!O34="Not covered",Wording_Ranks!O34="Child-only"),$C$12,INDEX($C$7:$C$11,Wording_Ranks!N34))</f>
        <v>0</v>
      </c>
    </row>
    <row r="51" customFormat="false" ht="15" hidden="false" customHeight="true" outlineLevel="0" collapsed="false">
      <c r="A51" s="40" t="n">
        <f aca="false">Wording_Ranks!A35</f>
        <v>34</v>
      </c>
      <c r="B51" s="27" t="str">
        <f aca="false">Wording_Ranks!B35</f>
        <v>Stroke – Resulting in Specified Symptoms</v>
      </c>
      <c r="C51" s="52" t="n">
        <f aca="false">IF(OR(Wording_Ranks!F35="Not covered",Wording_Ranks!F35="Child-only"),$C$12,INDEX($C$7:$C$11,Wording_Ranks!E35))</f>
        <v>0.4</v>
      </c>
      <c r="D51" s="52" t="n">
        <f aca="false">IF(OR(Wording_Ranks!H35="Not covered",Wording_Ranks!H35="Child-only"),$C$12,INDEX($C$7:$C$11,Wording_Ranks!G35))</f>
        <v>0.8</v>
      </c>
      <c r="E51" s="52" t="n">
        <f aca="false">IF(OR(Wording_Ranks!J35="Not covered",Wording_Ranks!J35="Child-only"),$C$12,INDEX($C$7:$C$11,Wording_Ranks!I35))</f>
        <v>0.6</v>
      </c>
      <c r="F51" s="52" t="n">
        <f aca="false">IF(OR(Wording_Ranks!M35="Not covered",Wording_Ranks!M35="Child-only"),$C$12,INDEX($C$7:$C$11,Wording_Ranks!L35))</f>
        <v>0.2</v>
      </c>
      <c r="G51" s="52" t="n">
        <f aca="false">IF(OR(Wording_Ranks!O35="Not covered",Wording_Ranks!O35="Child-only"),$C$12,INDEX($C$7:$C$11,Wording_Ranks!N35))</f>
        <v>1</v>
      </c>
    </row>
    <row r="52" customFormat="false" ht="15" hidden="false" customHeight="true" outlineLevel="0" collapsed="false">
      <c r="A52" s="40" t="n">
        <f aca="false">Wording_Ranks!A36</f>
        <v>35</v>
      </c>
      <c r="B52" s="27" t="str">
        <f aca="false">Wording_Ranks!B36</f>
        <v>Primary Pulmonary Hypertension – of Specified Severity</v>
      </c>
      <c r="C52" s="52" t="n">
        <f aca="false">IF(OR(Wording_Ranks!F36="Not covered",Wording_Ranks!F36="Child-only"),$C$12,INDEX($C$7:$C$11,Wording_Ranks!E36))</f>
        <v>0.6</v>
      </c>
      <c r="D52" s="52" t="n">
        <f aca="false">IF(OR(Wording_Ranks!H36="Not covered",Wording_Ranks!H36="Child-only"),$C$12,INDEX($C$7:$C$11,Wording_Ranks!G36))</f>
        <v>0.8</v>
      </c>
      <c r="E52" s="52" t="n">
        <f aca="false">IF(OR(Wording_Ranks!J36="Not covered",Wording_Ranks!J36="Child-only"),$C$12,INDEX($C$7:$C$11,Wording_Ranks!I36))</f>
        <v>0.2</v>
      </c>
      <c r="F52" s="52" t="n">
        <f aca="false">IF(OR(Wording_Ranks!M36="Not covered",Wording_Ranks!M36="Child-only"),$C$12,INDEX($C$7:$C$11,Wording_Ranks!L36))</f>
        <v>0.4</v>
      </c>
      <c r="G52" s="52" t="n">
        <f aca="false">IF(OR(Wording_Ranks!O36="Not covered",Wording_Ranks!O36="Child-only"),$C$12,INDEX($C$7:$C$11,Wording_Ranks!N36))</f>
        <v>1</v>
      </c>
    </row>
    <row r="53" customFormat="false" ht="15" hidden="false" customHeight="true" outlineLevel="0" collapsed="false">
      <c r="A53" s="40" t="n">
        <f aca="false">Wording_Ranks!A37</f>
        <v>36</v>
      </c>
      <c r="B53" s="27" t="str">
        <f aca="false">Wording_Ranks!B37</f>
        <v>Central Retinal Artery/Vein Occlusion (Eye Stroke)</v>
      </c>
      <c r="C53" s="52" t="n">
        <f aca="false">IF(OR(Wording_Ranks!F37="Not covered",Wording_Ranks!F37="Child-only"),$C$12,INDEX($C$7:$C$11,Wording_Ranks!E37))</f>
        <v>1</v>
      </c>
      <c r="D53" s="52" t="n">
        <f aca="false">IF(OR(Wording_Ranks!H37="Not covered",Wording_Ranks!H37="Child-only"),$C$12,INDEX($C$7:$C$11,Wording_Ranks!G37))</f>
        <v>0.8</v>
      </c>
      <c r="E53" s="52" t="n">
        <f aca="false">IF(OR(Wording_Ranks!J37="Not covered",Wording_Ranks!J37="Child-only"),$C$12,INDEX($C$7:$C$11,Wording_Ranks!I37))</f>
        <v>0.2</v>
      </c>
      <c r="F53" s="52" t="n">
        <f aca="false">IF(OR(Wording_Ranks!M37="Not covered",Wording_Ranks!M37="Child-only"),$C$12,INDEX($C$7:$C$11,Wording_Ranks!L37))</f>
        <v>0.8</v>
      </c>
      <c r="G53" s="52" t="n">
        <f aca="false">IF(OR(Wording_Ranks!O37="Not covered",Wording_Ranks!O37="Child-only"),$C$12,INDEX($C$7:$C$11,Wording_Ranks!N37))</f>
        <v>0.6</v>
      </c>
    </row>
    <row r="54" customFormat="false" ht="15" hidden="false" customHeight="true" outlineLevel="0" collapsed="false">
      <c r="A54" s="40" t="n">
        <f aca="false">Wording_Ranks!A38</f>
        <v>37</v>
      </c>
      <c r="B54" s="27" t="str">
        <f aca="false">Wording_Ranks!B38</f>
        <v>Child Overseas Surgery Benefit</v>
      </c>
      <c r="C54" s="52" t="n">
        <f aca="false">IF(OR(Wording_Ranks!F38="Not covered",Wording_Ranks!F38="Child-only"),$C$12,INDEX($C$7:$C$11,Wording_Ranks!E38))</f>
        <v>0</v>
      </c>
      <c r="D54" s="52" t="n">
        <f aca="false">IF(OR(Wording_Ranks!H38="Not covered",Wording_Ranks!H38="Child-only"),$C$12,INDEX($C$7:$C$11,Wording_Ranks!G38))</f>
        <v>0</v>
      </c>
      <c r="E54" s="52" t="n">
        <f aca="false">IF(OR(Wording_Ranks!J38="Not covered",Wording_Ranks!J38="Child-only"),$C$12,INDEX($C$7:$C$11,Wording_Ranks!I38))</f>
        <v>0</v>
      </c>
      <c r="F54" s="52" t="n">
        <f aca="false">IF(OR(Wording_Ranks!M38="Not covered",Wording_Ranks!M38="Child-only"),$C$12,INDEX($C$7:$C$11,Wording_Ranks!L38))</f>
        <v>0</v>
      </c>
      <c r="G54" s="52" t="n">
        <f aca="false">IF(OR(Wording_Ranks!O38="Not covered",Wording_Ranks!O38="Child-only"),$C$12,INDEX($C$7:$C$11,Wording_Ranks!N38))</f>
        <v>0</v>
      </c>
    </row>
    <row r="55" customFormat="false" ht="15" hidden="false" customHeight="true" outlineLevel="0" collapsed="false">
      <c r="A55" s="40" t="n">
        <f aca="false">Wording_Ranks!A39</f>
        <v>38</v>
      </c>
      <c r="B55" s="27" t="str">
        <f aca="false">Wording_Ranks!B39</f>
        <v>Children's Hospital Cash Cover</v>
      </c>
      <c r="C55" s="52" t="n">
        <f aca="false">IF(OR(Wording_Ranks!F39="Not covered",Wording_Ranks!F39="Child-only"),$C$12,INDEX($C$7:$C$11,Wording_Ranks!E39))</f>
        <v>0</v>
      </c>
      <c r="D55" s="52" t="n">
        <f aca="false">IF(OR(Wording_Ranks!H39="Not covered",Wording_Ranks!H39="Child-only"),$C$12,INDEX($C$7:$C$11,Wording_Ranks!G39))</f>
        <v>1</v>
      </c>
      <c r="E55" s="52" t="n">
        <f aca="false">IF(OR(Wording_Ranks!J39="Not covered",Wording_Ranks!J39="Child-only"),$C$12,INDEX($C$7:$C$11,Wording_Ranks!I39))</f>
        <v>0.6</v>
      </c>
      <c r="F55" s="52" t="n">
        <f aca="false">IF(OR(Wording_Ranks!M39="Not covered",Wording_Ranks!M39="Child-only"),$C$12,INDEX($C$7:$C$11,Wording_Ranks!L39))</f>
        <v>0</v>
      </c>
      <c r="G55" s="52" t="n">
        <f aca="false">IF(OR(Wording_Ranks!O39="Not covered",Wording_Ranks!O39="Child-only"),$C$12,INDEX($C$7:$C$11,Wording_Ranks!N39))</f>
        <v>0.8</v>
      </c>
    </row>
    <row r="56" customFormat="false" ht="15" hidden="false" customHeight="true" outlineLevel="0" collapsed="false">
      <c r="A56" s="40" t="n">
        <f aca="false">Wording_Ranks!A40</f>
        <v>39</v>
      </c>
      <c r="B56" s="27" t="str">
        <f aca="false">Wording_Ranks!B40</f>
        <v>Children's Life Cover</v>
      </c>
      <c r="C56" s="52" t="n">
        <f aca="false">IF(OR(Wording_Ranks!F40="Not covered",Wording_Ranks!F40="Child-only"),$C$12,INDEX($C$7:$C$11,Wording_Ranks!E40))</f>
        <v>0</v>
      </c>
      <c r="D56" s="52" t="n">
        <f aca="false">IF(OR(Wording_Ranks!H40="Not covered",Wording_Ranks!H40="Child-only"),$C$12,INDEX($C$7:$C$11,Wording_Ranks!G40))</f>
        <v>0.8</v>
      </c>
      <c r="E56" s="52" t="n">
        <f aca="false">IF(OR(Wording_Ranks!J40="Not covered",Wording_Ranks!J40="Child-only"),$C$12,INDEX($C$7:$C$11,Wording_Ranks!I40))</f>
        <v>0</v>
      </c>
      <c r="F56" s="52" t="n">
        <f aca="false">IF(OR(Wording_Ranks!M40="Not covered",Wording_Ranks!M40="Child-only"),$C$12,INDEX($C$7:$C$11,Wording_Ranks!L40))</f>
        <v>1</v>
      </c>
      <c r="G56" s="52" t="n">
        <f aca="false">IF(OR(Wording_Ranks!O40="Not covered",Wording_Ranks!O40="Child-only"),$C$12,INDEX($C$7:$C$11,Wording_Ranks!N40))</f>
        <v>0.6</v>
      </c>
    </row>
    <row r="57" customFormat="false" ht="15" hidden="false" customHeight="true" outlineLevel="0" collapsed="false">
      <c r="A57" s="40" t="n">
        <f aca="false">Wording_Ranks!A41</f>
        <v>40</v>
      </c>
      <c r="B57" s="27" t="str">
        <f aca="false">Wording_Ranks!B41</f>
        <v>Children's Partial Payment Serious Illness Benefit</v>
      </c>
      <c r="C57" s="52" t="n">
        <f aca="false">IF(OR(Wording_Ranks!F41="Not covered",Wording_Ranks!F41="Child-only"),$C$12,INDEX($C$7:$C$11,Wording_Ranks!E41))</f>
        <v>0</v>
      </c>
      <c r="D57" s="52" t="n">
        <f aca="false">IF(OR(Wording_Ranks!H41="Not covered",Wording_Ranks!H41="Child-only"),$C$12,INDEX($C$7:$C$11,Wording_Ranks!G41))</f>
        <v>0</v>
      </c>
      <c r="E57" s="52" t="n">
        <f aca="false">IF(OR(Wording_Ranks!J41="Not covered",Wording_Ranks!J41="Child-only"),$C$12,INDEX($C$7:$C$11,Wording_Ranks!I41))</f>
        <v>0</v>
      </c>
      <c r="F57" s="52" t="n">
        <f aca="false">IF(OR(Wording_Ranks!M41="Not covered",Wording_Ranks!M41="Child-only"),$C$12,INDEX($C$7:$C$11,Wording_Ranks!L41))</f>
        <v>0</v>
      </c>
      <c r="G57" s="52" t="n">
        <f aca="false">IF(OR(Wording_Ranks!O41="Not covered",Wording_Ranks!O41="Child-only"),$C$12,INDEX($C$7:$C$11,Wording_Ranks!N41))</f>
        <v>0</v>
      </c>
    </row>
    <row r="58" customFormat="false" ht="15" hidden="false" customHeight="true" outlineLevel="0" collapsed="false">
      <c r="A58" s="40" t="n">
        <f aca="false">Wording_Ranks!A42</f>
        <v>41</v>
      </c>
      <c r="B58" s="27" t="str">
        <f aca="false">Wording_Ranks!B42</f>
        <v>Children's Specified Illness Cover</v>
      </c>
      <c r="C58" s="52" t="n">
        <f aca="false">IF(OR(Wording_Ranks!F42="Not covered",Wording_Ranks!F42="Child-only"),$C$12,INDEX($C$7:$C$11,Wording_Ranks!E42))</f>
        <v>0</v>
      </c>
      <c r="D58" s="52" t="n">
        <f aca="false">IF(OR(Wording_Ranks!H42="Not covered",Wording_Ranks!H42="Child-only"),$C$12,INDEX($C$7:$C$11,Wording_Ranks!G42))</f>
        <v>0</v>
      </c>
      <c r="E58" s="52" t="n">
        <f aca="false">IF(OR(Wording_Ranks!J42="Not covered",Wording_Ranks!J42="Child-only"),$C$12,INDEX($C$7:$C$11,Wording_Ranks!I42))</f>
        <v>0</v>
      </c>
      <c r="F58" s="52" t="n">
        <f aca="false">IF(OR(Wording_Ranks!M42="Not covered",Wording_Ranks!M42="Child-only"),$C$12,INDEX($C$7:$C$11,Wording_Ranks!L42))</f>
        <v>0</v>
      </c>
      <c r="G58" s="52" t="n">
        <f aca="false">IF(OR(Wording_Ranks!O42="Not covered",Wording_Ranks!O42="Child-only"),$C$12,INDEX($C$7:$C$11,Wording_Ranks!N42))</f>
        <v>0</v>
      </c>
    </row>
    <row r="59" customFormat="false" ht="15" hidden="false" customHeight="true" outlineLevel="0" collapsed="false">
      <c r="A59" s="40" t="n">
        <f aca="false">Wording_Ranks!A43</f>
        <v>42</v>
      </c>
      <c r="B59" s="27" t="str">
        <f aca="false">Wording_Ranks!B43</f>
        <v>Intensive Care – Mechanical Ventilation 10+ Days</v>
      </c>
      <c r="C59" s="52" t="n">
        <f aca="false">IF(OR(Wording_Ranks!F43="Not covered",Wording_Ranks!F43="Child-only"),$C$12,INDEX($C$7:$C$11,Wording_Ranks!E43))</f>
        <v>0.6</v>
      </c>
      <c r="D59" s="52" t="n">
        <f aca="false">IF(OR(Wording_Ranks!H43="Not covered",Wording_Ranks!H43="Child-only"),$C$12,INDEX($C$7:$C$11,Wording_Ranks!G43))</f>
        <v>0.8</v>
      </c>
      <c r="E59" s="52" t="n">
        <f aca="false">IF(OR(Wording_Ranks!J43="Not covered",Wording_Ranks!J43="Child-only"),$C$12,INDEX($C$7:$C$11,Wording_Ranks!I43))</f>
        <v>0.2</v>
      </c>
      <c r="F59" s="52" t="n">
        <f aca="false">IF(OR(Wording_Ranks!M43="Not covered",Wording_Ranks!M43="Child-only"),$C$12,INDEX($C$7:$C$11,Wording_Ranks!L43))</f>
        <v>0.4</v>
      </c>
      <c r="G59" s="52" t="n">
        <f aca="false">IF(OR(Wording_Ranks!O43="Not covered",Wording_Ranks!O43="Child-only"),$C$12,INDEX($C$7:$C$11,Wording_Ranks!N43))</f>
        <v>1</v>
      </c>
    </row>
    <row r="60" customFormat="false" ht="15" hidden="false" customHeight="true" outlineLevel="0" collapsed="false">
      <c r="A60" s="40" t="n">
        <f aca="false">Wording_Ranks!A44</f>
        <v>43</v>
      </c>
      <c r="B60" s="27" t="str">
        <f aca="false">Wording_Ranks!B44</f>
        <v>Type 1 Diabetes Mellitus</v>
      </c>
      <c r="C60" s="52" t="n">
        <f aca="false">IF(OR(Wording_Ranks!F44="Not covered",Wording_Ranks!F44="Child-only"),$C$12,INDEX($C$7:$C$11,Wording_Ranks!E44))</f>
        <v>0</v>
      </c>
      <c r="D60" s="52" t="n">
        <f aca="false">IF(OR(Wording_Ranks!H44="Not covered",Wording_Ranks!H44="Child-only"),$C$12,INDEX($C$7:$C$11,Wording_Ranks!G44))</f>
        <v>0</v>
      </c>
      <c r="E60" s="52" t="n">
        <f aca="false">IF(OR(Wording_Ranks!J44="Not covered",Wording_Ranks!J44="Child-only"),$C$12,INDEX($C$7:$C$11,Wording_Ranks!I44))</f>
        <v>0.2</v>
      </c>
      <c r="F60" s="52" t="n">
        <f aca="false">IF(OR(Wording_Ranks!M44="Not covered",Wording_Ranks!M44="Child-only"),$C$12,INDEX($C$7:$C$11,Wording_Ranks!L44))</f>
        <v>0.8</v>
      </c>
      <c r="G60" s="52" t="n">
        <f aca="false">IF(OR(Wording_Ranks!O44="Not covered",Wording_Ranks!O44="Child-only"),$C$12,INDEX($C$7:$C$11,Wording_Ranks!N44))</f>
        <v>1</v>
      </c>
    </row>
    <row r="61" customFormat="false" ht="15" hidden="false" customHeight="true" outlineLevel="0" collapsed="false">
      <c r="A61" s="40" t="n">
        <f aca="false">Wording_Ranks!A45</f>
        <v>44</v>
      </c>
      <c r="B61" s="27" t="str">
        <f aca="false">Wording_Ranks!B45</f>
        <v>Loss of Independent Existence – Permanent and Irreversible</v>
      </c>
      <c r="C61" s="52" t="n">
        <f aca="false">IF(OR(Wording_Ranks!F45="Not covered",Wording_Ranks!F45="Child-only"),$C$12,INDEX($C$7:$C$11,Wording_Ranks!E45))</f>
        <v>0.8</v>
      </c>
      <c r="D61" s="52" t="n">
        <f aca="false">IF(OR(Wording_Ranks!H45="Not covered",Wording_Ranks!H45="Child-only"),$C$12,INDEX($C$7:$C$11,Wording_Ranks!G45))</f>
        <v>1</v>
      </c>
      <c r="E61" s="52" t="n">
        <f aca="false">IF(OR(Wording_Ranks!J45="Not covered",Wording_Ranks!J45="Child-only"),$C$12,INDEX($C$7:$C$11,Wording_Ranks!I45))</f>
        <v>0</v>
      </c>
      <c r="F61" s="52" t="n">
        <f aca="false">IF(OR(Wording_Ranks!M45="Not covered",Wording_Ranks!M45="Child-only"),$C$12,INDEX($C$7:$C$11,Wording_Ranks!L45))</f>
        <v>0.4</v>
      </c>
      <c r="G61" s="52" t="n">
        <f aca="false">IF(OR(Wording_Ranks!O45="Not covered",Wording_Ranks!O45="Child-only"),$C$12,INDEX($C$7:$C$11,Wording_Ranks!N45))</f>
        <v>0.6</v>
      </c>
    </row>
    <row r="62" customFormat="false" ht="15" hidden="false" customHeight="true" outlineLevel="0" collapsed="false">
      <c r="A62" s="40" t="n">
        <f aca="false">Wording_Ranks!A46</f>
        <v>45</v>
      </c>
      <c r="B62" s="27" t="str">
        <f aca="false">Wording_Ranks!B46</f>
        <v>Total and Permanent Disability (TPD)</v>
      </c>
      <c r="C62" s="52" t="n">
        <f aca="false">IF(OR(Wording_Ranks!F46="Not covered",Wording_Ranks!F46="Child-only"),$C$12,INDEX($C$7:$C$11,Wording_Ranks!E46))</f>
        <v>0</v>
      </c>
      <c r="D62" s="52" t="n">
        <f aca="false">IF(OR(Wording_Ranks!H46="Not covered",Wording_Ranks!H46="Child-only"),$C$12,INDEX($C$7:$C$11,Wording_Ranks!G46))</f>
        <v>0</v>
      </c>
      <c r="E62" s="52" t="n">
        <f aca="false">IF(OR(Wording_Ranks!J46="Not covered",Wording_Ranks!J46="Child-only"),$C$12,INDEX($C$7:$C$11,Wording_Ranks!I46))</f>
        <v>0.8</v>
      </c>
      <c r="F62" s="52" t="n">
        <f aca="false">IF(OR(Wording_Ranks!M46="Not covered",Wording_Ranks!M46="Child-only"),$C$12,INDEX($C$7:$C$11,Wording_Ranks!L46))</f>
        <v>0</v>
      </c>
      <c r="G62" s="52" t="n">
        <f aca="false">IF(OR(Wording_Ranks!O46="Not covered",Wording_Ranks!O46="Child-only"),$C$12,INDEX($C$7:$C$11,Wording_Ranks!N46))</f>
        <v>1</v>
      </c>
    </row>
    <row r="63" customFormat="false" ht="15" hidden="false" customHeight="true" outlineLevel="0" collapsed="false">
      <c r="A63" s="40" t="n">
        <f aca="false">Wording_Ranks!A47</f>
        <v>46</v>
      </c>
      <c r="B63" s="27" t="str">
        <f aca="false">Wording_Ranks!B47</f>
        <v>Paralysis of One Limb – Total and Irreversible</v>
      </c>
      <c r="C63" s="52" t="n">
        <f aca="false">IF(OR(Wording_Ranks!F47="Not covered",Wording_Ranks!F47="Child-only"),$C$12,INDEX($C$7:$C$11,Wording_Ranks!E47))</f>
        <v>0</v>
      </c>
      <c r="D63" s="52" t="n">
        <f aca="false">IF(OR(Wording_Ranks!H47="Not covered",Wording_Ranks!H47="Child-only"),$C$12,INDEX($C$7:$C$11,Wording_Ranks!G47))</f>
        <v>1</v>
      </c>
      <c r="E63" s="52" t="n">
        <f aca="false">IF(OR(Wording_Ranks!J47="Not covered",Wording_Ranks!J47="Child-only"),$C$12,INDEX($C$7:$C$11,Wording_Ranks!I47))</f>
        <v>0.6</v>
      </c>
      <c r="F63" s="52" t="n">
        <f aca="false">IF(OR(Wording_Ranks!M47="Not covered",Wording_Ranks!M47="Child-only"),$C$12,INDEX($C$7:$C$11,Wording_Ranks!L47))</f>
        <v>0.8</v>
      </c>
      <c r="G63" s="52" t="n">
        <f aca="false">IF(OR(Wording_Ranks!O47="Not covered",Wording_Ranks!O47="Child-only"),$C$12,INDEX($C$7:$C$11,Wording_Ranks!N47))</f>
        <v>0</v>
      </c>
    </row>
    <row r="64" customFormat="false" ht="15" hidden="false" customHeight="true" outlineLevel="0" collapsed="false">
      <c r="A64" s="40" t="n">
        <f aca="false">Wording_Ranks!A48</f>
        <v>47</v>
      </c>
      <c r="B64" s="27" t="str">
        <f aca="false">Wording_Ranks!B48</f>
        <v>Paralysis – Total Loss of Limb Function</v>
      </c>
      <c r="C64" s="52" t="n">
        <f aca="false">IF(OR(Wording_Ranks!F48="Not covered",Wording_Ranks!F48="Child-only"),$C$12,INDEX($C$7:$C$11,Wording_Ranks!E48))</f>
        <v>1</v>
      </c>
      <c r="D64" s="52" t="n">
        <f aca="false">IF(OR(Wording_Ranks!H48="Not covered",Wording_Ranks!H48="Child-only"),$C$12,INDEX($C$7:$C$11,Wording_Ranks!G48))</f>
        <v>0</v>
      </c>
      <c r="E64" s="52" t="n">
        <f aca="false">IF(OR(Wording_Ranks!J48="Not covered",Wording_Ranks!J48="Child-only"),$C$12,INDEX($C$7:$C$11,Wording_Ranks!I48))</f>
        <v>0</v>
      </c>
      <c r="F64" s="52" t="n">
        <f aca="false">IF(OR(Wording_Ranks!M48="Not covered",Wording_Ranks!M48="Child-only"),$C$12,INDEX($C$7:$C$11,Wording_Ranks!L48))</f>
        <v>0</v>
      </c>
      <c r="G64" s="52" t="n">
        <f aca="false">IF(OR(Wording_Ranks!O48="Not covered",Wording_Ranks!O48="Child-only"),$C$12,INDEX($C$7:$C$11,Wording_Ranks!N48))</f>
        <v>0.6</v>
      </c>
    </row>
    <row r="65" customFormat="false" ht="15" hidden="false" customHeight="true" outlineLevel="0" collapsed="false">
      <c r="A65" s="40" t="n">
        <f aca="false">Wording_Ranks!A49</f>
        <v>48</v>
      </c>
      <c r="B65" s="27" t="str">
        <f aca="false">Wording_Ranks!B49</f>
        <v>Loss of Hand or Foot – Permanent Physical Severance</v>
      </c>
      <c r="C65" s="52" t="n">
        <f aca="false">IF(OR(Wording_Ranks!F49="Not covered",Wording_Ranks!F49="Child-only"),$C$12,INDEX($C$7:$C$11,Wording_Ranks!E49))</f>
        <v>1</v>
      </c>
      <c r="D65" s="52" t="n">
        <f aca="false">IF(OR(Wording_Ranks!H49="Not covered",Wording_Ranks!H49="Child-only"),$C$12,INDEX($C$7:$C$11,Wording_Ranks!G49))</f>
        <v>0</v>
      </c>
      <c r="E65" s="52" t="n">
        <f aca="false">IF(OR(Wording_Ranks!J49="Not covered",Wording_Ranks!J49="Child-only"),$C$12,INDEX($C$7:$C$11,Wording_Ranks!I49))</f>
        <v>0</v>
      </c>
      <c r="F65" s="52" t="n">
        <f aca="false">IF(OR(Wording_Ranks!M49="Not covered",Wording_Ranks!M49="Child-only"),$C$12,INDEX($C$7:$C$11,Wording_Ranks!L49))</f>
        <v>0</v>
      </c>
      <c r="G65" s="52" t="n">
        <f aca="false">IF(OR(Wording_Ranks!O49="Not covered",Wording_Ranks!O49="Child-only"),$C$12,INDEX($C$7:$C$11,Wording_Ranks!N49))</f>
        <v>0</v>
      </c>
    </row>
    <row r="66" customFormat="false" ht="15" hidden="false" customHeight="true" outlineLevel="0" collapsed="false">
      <c r="A66" s="40" t="n">
        <f aca="false">Wording_Ranks!A50</f>
        <v>49</v>
      </c>
      <c r="B66" s="27" t="str">
        <f aca="false">Wording_Ranks!B50</f>
        <v>Loss of One Limb – Permanent Physical Severance</v>
      </c>
      <c r="C66" s="52" t="n">
        <f aca="false">IF(OR(Wording_Ranks!F50="Not covered",Wording_Ranks!F50="Child-only"),$C$12,INDEX($C$7:$C$11,Wording_Ranks!E50))</f>
        <v>0</v>
      </c>
      <c r="D66" s="52" t="n">
        <f aca="false">IF(OR(Wording_Ranks!H50="Not covered",Wording_Ranks!H50="Child-only"),$C$12,INDEX($C$7:$C$11,Wording_Ranks!G50))</f>
        <v>1</v>
      </c>
      <c r="E66" s="52" t="n">
        <f aca="false">IF(OR(Wording_Ranks!J50="Not covered",Wording_Ranks!J50="Child-only"),$C$12,INDEX($C$7:$C$11,Wording_Ranks!I50))</f>
        <v>0.4</v>
      </c>
      <c r="F66" s="52" t="n">
        <f aca="false">IF(OR(Wording_Ranks!M50="Not covered",Wording_Ranks!M50="Child-only"),$C$12,INDEX($C$7:$C$11,Wording_Ranks!L50))</f>
        <v>0.6</v>
      </c>
      <c r="G66" s="52" t="n">
        <f aca="false">IF(OR(Wording_Ranks!O50="Not covered",Wording_Ranks!O50="Child-only"),$C$12,INDEX($C$7:$C$11,Wording_Ranks!N50))</f>
        <v>0.8</v>
      </c>
    </row>
    <row r="67" customFormat="false" ht="15" hidden="false" customHeight="true" outlineLevel="0" collapsed="false">
      <c r="A67" s="40" t="n">
        <f aca="false">Wording_Ranks!A51</f>
        <v>50</v>
      </c>
      <c r="B67" s="27" t="str">
        <f aca="false">Wording_Ranks!B51</f>
        <v>Chronic Pancreatitis</v>
      </c>
      <c r="C67" s="52" t="n">
        <f aca="false">IF(OR(Wording_Ranks!F51="Not covered",Wording_Ranks!F51="Child-only"),$C$12,INDEX($C$7:$C$11,Wording_Ranks!E51))</f>
        <v>1</v>
      </c>
      <c r="D67" s="52" t="n">
        <f aca="false">IF(OR(Wording_Ranks!H51="Not covered",Wording_Ranks!H51="Child-only"),$C$12,INDEX($C$7:$C$11,Wording_Ranks!G51))</f>
        <v>0.8</v>
      </c>
      <c r="E67" s="52" t="n">
        <f aca="false">IF(OR(Wording_Ranks!J51="Not covered",Wording_Ranks!J51="Child-only"),$C$12,INDEX($C$7:$C$11,Wording_Ranks!I51))</f>
        <v>0.2</v>
      </c>
      <c r="F67" s="52" t="n">
        <f aca="false">IF(OR(Wording_Ranks!M51="Not covered",Wording_Ranks!M51="Child-only"),$C$12,INDEX($C$7:$C$11,Wording_Ranks!L51))</f>
        <v>0.6</v>
      </c>
      <c r="G67" s="52" t="n">
        <f aca="false">IF(OR(Wording_Ranks!O51="Not covered",Wording_Ranks!O51="Child-only"),$C$12,INDEX($C$7:$C$11,Wording_Ranks!N51))</f>
        <v>0</v>
      </c>
    </row>
    <row r="68" customFormat="false" ht="15" hidden="false" customHeight="true" outlineLevel="0" collapsed="false">
      <c r="A68" s="40" t="n">
        <f aca="false">Wording_Ranks!A52</f>
        <v>51</v>
      </c>
      <c r="B68" s="27" t="str">
        <f aca="false">Wording_Ranks!B52</f>
        <v>Crohn's Disease – Severe / with Surgical Resection</v>
      </c>
      <c r="C68" s="52" t="n">
        <f aca="false">IF(OR(Wording_Ranks!F52="Not covered",Wording_Ranks!F52="Child-only"),$C$12,INDEX($C$7:$C$11,Wording_Ranks!E52))</f>
        <v>0.8</v>
      </c>
      <c r="D68" s="52" t="n">
        <f aca="false">IF(OR(Wording_Ranks!H52="Not covered",Wording_Ranks!H52="Child-only"),$C$12,INDEX($C$7:$C$11,Wording_Ranks!G52))</f>
        <v>0.4</v>
      </c>
      <c r="E68" s="52" t="n">
        <f aca="false">IF(OR(Wording_Ranks!J52="Not covered",Wording_Ranks!J52="Child-only"),$C$12,INDEX($C$7:$C$11,Wording_Ranks!I52))</f>
        <v>0.2</v>
      </c>
      <c r="F68" s="52" t="n">
        <f aca="false">IF(OR(Wording_Ranks!M52="Not covered",Wording_Ranks!M52="Child-only"),$C$12,INDEX($C$7:$C$11,Wording_Ranks!L52))</f>
        <v>1</v>
      </c>
      <c r="G68" s="52" t="n">
        <f aca="false">IF(OR(Wording_Ranks!O52="Not covered",Wording_Ranks!O52="Child-only"),$C$12,INDEX($C$7:$C$11,Wording_Ranks!N52))</f>
        <v>0.6</v>
      </c>
    </row>
    <row r="69" customFormat="false" ht="15" hidden="false" customHeight="true" outlineLevel="0" collapsed="false">
      <c r="A69" s="40" t="n">
        <f aca="false">Wording_Ranks!A53</f>
        <v>52</v>
      </c>
      <c r="B69" s="27" t="str">
        <f aca="false">Wording_Ranks!B53</f>
        <v>Short Bowel Syndrome – Requiring Permanent Total Parenteral Nutrition</v>
      </c>
      <c r="C69" s="52" t="n">
        <f aca="false">IF(OR(Wording_Ranks!F53="Not covered",Wording_Ranks!F53="Child-only"),$C$12,INDEX($C$7:$C$11,Wording_Ranks!E53))</f>
        <v>0.8</v>
      </c>
      <c r="D69" s="52" t="n">
        <f aca="false">IF(OR(Wording_Ranks!H53="Not covered",Wording_Ranks!H53="Child-only"),$C$12,INDEX($C$7:$C$11,Wording_Ranks!G53))</f>
        <v>1</v>
      </c>
      <c r="E69" s="52" t="n">
        <f aca="false">IF(OR(Wording_Ranks!J53="Not covered",Wording_Ranks!J53="Child-only"),$C$12,INDEX($C$7:$C$11,Wording_Ranks!I53))</f>
        <v>0.2</v>
      </c>
      <c r="F69" s="52" t="n">
        <f aca="false">IF(OR(Wording_Ranks!M53="Not covered",Wording_Ranks!M53="Child-only"),$C$12,INDEX($C$7:$C$11,Wording_Ranks!L53))</f>
        <v>0.6</v>
      </c>
      <c r="G69" s="52" t="n">
        <f aca="false">IF(OR(Wording_Ranks!O53="Not covered",Wording_Ranks!O53="Child-only"),$C$12,INDEX($C$7:$C$11,Wording_Ranks!N53))</f>
        <v>0</v>
      </c>
    </row>
    <row r="70" customFormat="false" ht="15" hidden="false" customHeight="true" outlineLevel="0" collapsed="false">
      <c r="A70" s="40" t="n">
        <f aca="false">Wording_Ranks!A54</f>
        <v>53</v>
      </c>
      <c r="B70" s="27" t="str">
        <f aca="false">Wording_Ranks!B54</f>
        <v>Ulcerative Colitis – Treated with Total Colectomy</v>
      </c>
      <c r="C70" s="52" t="n">
        <f aca="false">IF(OR(Wording_Ranks!F54="Not covered",Wording_Ranks!F54="Child-only"),$C$12,INDEX($C$7:$C$11,Wording_Ranks!E54))</f>
        <v>1</v>
      </c>
      <c r="D70" s="52" t="n">
        <f aca="false">IF(OR(Wording_Ranks!H54="Not covered",Wording_Ranks!H54="Child-only"),$C$12,INDEX($C$7:$C$11,Wording_Ranks!G54))</f>
        <v>0.4</v>
      </c>
      <c r="E70" s="52" t="n">
        <f aca="false">IF(OR(Wording_Ranks!J54="Not covered",Wording_Ranks!J54="Child-only"),$C$12,INDEX($C$7:$C$11,Wording_Ranks!I54))</f>
        <v>0.2</v>
      </c>
      <c r="F70" s="52" t="n">
        <f aca="false">IF(OR(Wording_Ranks!M54="Not covered",Wording_Ranks!M54="Child-only"),$C$12,INDEX($C$7:$C$11,Wording_Ranks!L54))</f>
        <v>0.6</v>
      </c>
      <c r="G70" s="52" t="n">
        <f aca="false">IF(OR(Wording_Ranks!O54="Not covered",Wording_Ranks!O54="Child-only"),$C$12,INDEX($C$7:$C$11,Wording_Ranks!N54))</f>
        <v>0.8</v>
      </c>
    </row>
    <row r="71" customFormat="false" ht="15" hidden="false" customHeight="true" outlineLevel="0" collapsed="false">
      <c r="A71" s="40" t="n">
        <f aca="false">Wording_Ranks!A55</f>
        <v>54</v>
      </c>
      <c r="B71" s="27" t="str">
        <f aca="false">Wording_Ranks!B55</f>
        <v>Aplastic Anaemia – of Specified Severity</v>
      </c>
      <c r="C71" s="52" t="n">
        <f aca="false">IF(OR(Wording_Ranks!F55="Not covered",Wording_Ranks!F55="Child-only"),$C$12,INDEX($C$7:$C$11,Wording_Ranks!E55))</f>
        <v>1</v>
      </c>
      <c r="D71" s="52" t="n">
        <f aca="false">IF(OR(Wording_Ranks!H55="Not covered",Wording_Ranks!H55="Child-only"),$C$12,INDEX($C$7:$C$11,Wording_Ranks!G55))</f>
        <v>0.8</v>
      </c>
      <c r="E71" s="52" t="n">
        <f aca="false">IF(OR(Wording_Ranks!J55="Not covered",Wording_Ranks!J55="Child-only"),$C$12,INDEX($C$7:$C$11,Wording_Ranks!I55))</f>
        <v>0.2</v>
      </c>
      <c r="F71" s="52" t="n">
        <f aca="false">IF(OR(Wording_Ranks!M55="Not covered",Wording_Ranks!M55="Child-only"),$C$12,INDEX($C$7:$C$11,Wording_Ranks!L55))</f>
        <v>0.4</v>
      </c>
      <c r="G71" s="52" t="n">
        <f aca="false">IF(OR(Wording_Ranks!O55="Not covered",Wording_Ranks!O55="Child-only"),$C$12,INDEX($C$7:$C$11,Wording_Ranks!N55))</f>
        <v>0.6</v>
      </c>
    </row>
    <row r="72" customFormat="false" ht="15" hidden="false" customHeight="true" outlineLevel="0" collapsed="false">
      <c r="A72" s="40" t="n">
        <f aca="false">Wording_Ranks!A56</f>
        <v>55</v>
      </c>
      <c r="B72" s="27" t="str">
        <f aca="false">Wording_Ranks!B56</f>
        <v>Disseminated Intravascular Coagulation (DIC)</v>
      </c>
      <c r="C72" s="52" t="n">
        <f aca="false">IF(OR(Wording_Ranks!F56="Not covered",Wording_Ranks!F56="Child-only"),$C$12,INDEX($C$7:$C$11,Wording_Ranks!E56))</f>
        <v>0</v>
      </c>
      <c r="D72" s="52" t="n">
        <f aca="false">IF(OR(Wording_Ranks!H56="Not covered",Wording_Ranks!H56="Child-only"),$C$12,INDEX($C$7:$C$11,Wording_Ranks!G56))</f>
        <v>1</v>
      </c>
      <c r="E72" s="52" t="n">
        <f aca="false">IF(OR(Wording_Ranks!J56="Not covered",Wording_Ranks!J56="Child-only"),$C$12,INDEX($C$7:$C$11,Wording_Ranks!I56))</f>
        <v>0</v>
      </c>
      <c r="F72" s="52" t="n">
        <f aca="false">IF(OR(Wording_Ranks!M56="Not covered",Wording_Ranks!M56="Child-only"),$C$12,INDEX($C$7:$C$11,Wording_Ranks!L56))</f>
        <v>0</v>
      </c>
      <c r="G72" s="52" t="n">
        <f aca="false">IF(OR(Wording_Ranks!O56="Not covered",Wording_Ranks!O56="Child-only"),$C$12,INDEX($C$7:$C$11,Wording_Ranks!N56))</f>
        <v>0</v>
      </c>
    </row>
    <row r="73" customFormat="false" ht="15" hidden="false" customHeight="true" outlineLevel="0" collapsed="false">
      <c r="A73" s="40" t="n">
        <f aca="false">Wording_Ranks!A57</f>
        <v>56</v>
      </c>
      <c r="B73" s="27" t="str">
        <f aca="false">Wording_Ranks!B57</f>
        <v>Liver Failure – End Stage</v>
      </c>
      <c r="C73" s="52" t="n">
        <f aca="false">IF(OR(Wording_Ranks!F57="Not covered",Wording_Ranks!F57="Child-only"),$C$12,INDEX($C$7:$C$11,Wording_Ranks!E57))</f>
        <v>0.4</v>
      </c>
      <c r="D73" s="52" t="n">
        <f aca="false">IF(OR(Wording_Ranks!H57="Not covered",Wording_Ranks!H57="Child-only"),$C$12,INDEX($C$7:$C$11,Wording_Ranks!G57))</f>
        <v>1</v>
      </c>
      <c r="E73" s="52" t="n">
        <f aca="false">IF(OR(Wording_Ranks!J57="Not covered",Wording_Ranks!J57="Child-only"),$C$12,INDEX($C$7:$C$11,Wording_Ranks!I57))</f>
        <v>0.2</v>
      </c>
      <c r="F73" s="52" t="n">
        <f aca="false">IF(OR(Wording_Ranks!M57="Not covered",Wording_Ranks!M57="Child-only"),$C$12,INDEX($C$7:$C$11,Wording_Ranks!L57))</f>
        <v>0.6</v>
      </c>
      <c r="G73" s="52" t="n">
        <f aca="false">IF(OR(Wording_Ranks!O57="Not covered",Wording_Ranks!O57="Child-only"),$C$12,INDEX($C$7:$C$11,Wording_Ranks!N57))</f>
        <v>0.8</v>
      </c>
    </row>
    <row r="74" customFormat="false" ht="15" hidden="false" customHeight="true" outlineLevel="0" collapsed="false">
      <c r="A74" s="40" t="n">
        <f aca="false">Wording_Ranks!A58</f>
        <v>57</v>
      </c>
      <c r="B74" s="27" t="str">
        <f aca="false">Wording_Ranks!B58</f>
        <v>Liver Resection</v>
      </c>
      <c r="C74" s="52" t="n">
        <f aca="false">IF(OR(Wording_Ranks!F58="Not covered",Wording_Ranks!F58="Child-only"),$C$12,INDEX($C$7:$C$11,Wording_Ranks!E58))</f>
        <v>0.6</v>
      </c>
      <c r="D74" s="52" t="n">
        <f aca="false">IF(OR(Wording_Ranks!H58="Not covered",Wording_Ranks!H58="Child-only"),$C$12,INDEX($C$7:$C$11,Wording_Ranks!G58))</f>
        <v>0.4</v>
      </c>
      <c r="E74" s="52" t="n">
        <f aca="false">IF(OR(Wording_Ranks!J58="Not covered",Wording_Ranks!J58="Child-only"),$C$12,INDEX($C$7:$C$11,Wording_Ranks!I58))</f>
        <v>0.2</v>
      </c>
      <c r="F74" s="52" t="n">
        <f aca="false">IF(OR(Wording_Ranks!M58="Not covered",Wording_Ranks!M58="Child-only"),$C$12,INDEX($C$7:$C$11,Wording_Ranks!L58))</f>
        <v>0.8</v>
      </c>
      <c r="G74" s="52" t="n">
        <f aca="false">IF(OR(Wording_Ranks!O58="Not covered",Wording_Ranks!O58="Child-only"),$C$12,INDEX($C$7:$C$11,Wording_Ranks!N58))</f>
        <v>1</v>
      </c>
    </row>
    <row r="75" customFormat="false" ht="15" hidden="false" customHeight="true" outlineLevel="0" collapsed="false">
      <c r="A75" s="40" t="n">
        <f aca="false">Wording_Ranks!A59</f>
        <v>58</v>
      </c>
      <c r="B75" s="27" t="str">
        <f aca="false">Wording_Ranks!B59</f>
        <v>Primary Sclerosing Cholangitis – of Specified Severity</v>
      </c>
      <c r="C75" s="52" t="n">
        <f aca="false">IF(OR(Wording_Ranks!F59="Not covered",Wording_Ranks!F59="Child-only"),$C$12,INDEX($C$7:$C$11,Wording_Ranks!E59))</f>
        <v>0.6</v>
      </c>
      <c r="D75" s="52" t="n">
        <f aca="false">IF(OR(Wording_Ranks!H59="Not covered",Wording_Ranks!H59="Child-only"),$C$12,INDEX($C$7:$C$11,Wording_Ranks!G59))</f>
        <v>1</v>
      </c>
      <c r="E75" s="52" t="n">
        <f aca="false">IF(OR(Wording_Ranks!J59="Not covered",Wording_Ranks!J59="Child-only"),$C$12,INDEX($C$7:$C$11,Wording_Ranks!I59))</f>
        <v>0.2</v>
      </c>
      <c r="F75" s="52" t="n">
        <f aca="false">IF(OR(Wording_Ranks!M59="Not covered",Wording_Ranks!M59="Child-only"),$C$12,INDEX($C$7:$C$11,Wording_Ranks!L59))</f>
        <v>0.8</v>
      </c>
      <c r="G75" s="52" t="n">
        <f aca="false">IF(OR(Wording_Ranks!O59="Not covered",Wording_Ranks!O59="Child-only"),$C$12,INDEX($C$7:$C$11,Wording_Ranks!N59))</f>
        <v>0</v>
      </c>
    </row>
    <row r="76" customFormat="false" ht="15" hidden="false" customHeight="true" outlineLevel="0" collapsed="false">
      <c r="A76" s="40" t="n">
        <f aca="false">Wording_Ranks!A60</f>
        <v>59</v>
      </c>
      <c r="B76" s="27" t="str">
        <f aca="false">Wording_Ranks!B60</f>
        <v>HIV Infection (Occupational / Transfusion / Assault)</v>
      </c>
      <c r="C76" s="52" t="n">
        <f aca="false">IF(OR(Wording_Ranks!F60="Not covered",Wording_Ranks!F60="Child-only"),$C$12,INDEX($C$7:$C$11,Wording_Ranks!E60))</f>
        <v>0.6</v>
      </c>
      <c r="D76" s="52" t="n">
        <f aca="false">IF(OR(Wording_Ranks!H60="Not covered",Wording_Ranks!H60="Child-only"),$C$12,INDEX($C$7:$C$11,Wording_Ranks!G60))</f>
        <v>1</v>
      </c>
      <c r="E76" s="52" t="n">
        <f aca="false">IF(OR(Wording_Ranks!J60="Not covered",Wording_Ranks!J60="Child-only"),$C$12,INDEX($C$7:$C$11,Wording_Ranks!I60))</f>
        <v>0.2</v>
      </c>
      <c r="F76" s="52" t="n">
        <f aca="false">IF(OR(Wording_Ranks!M60="Not covered",Wording_Ranks!M60="Child-only"),$C$12,INDEX($C$7:$C$11,Wording_Ranks!L60))</f>
        <v>0.8</v>
      </c>
      <c r="G76" s="52" t="n">
        <f aca="false">IF(OR(Wording_Ranks!O60="Not covered",Wording_Ranks!O60="Child-only"),$C$12,INDEX($C$7:$C$11,Wording_Ranks!N60))</f>
        <v>0.4</v>
      </c>
    </row>
    <row r="77" customFormat="false" ht="15" hidden="false" customHeight="true" outlineLevel="0" collapsed="false">
      <c r="A77" s="40" t="n">
        <f aca="false">Wording_Ranks!A61</f>
        <v>60</v>
      </c>
      <c r="B77" s="27" t="str">
        <f aca="false">Wording_Ranks!B61</f>
        <v>Necrotising Fasciitis</v>
      </c>
      <c r="C77" s="52" t="n">
        <f aca="false">IF(OR(Wording_Ranks!F61="Not covered",Wording_Ranks!F61="Child-only"),$C$12,INDEX($C$7:$C$11,Wording_Ranks!E61))</f>
        <v>1</v>
      </c>
      <c r="D77" s="52" t="n">
        <f aca="false">IF(OR(Wording_Ranks!H61="Not covered",Wording_Ranks!H61="Child-only"),$C$12,INDEX($C$7:$C$11,Wording_Ranks!G61))</f>
        <v>0.8</v>
      </c>
      <c r="E77" s="52" t="n">
        <f aca="false">IF(OR(Wording_Ranks!J61="Not covered",Wording_Ranks!J61="Child-only"),$C$12,INDEX($C$7:$C$11,Wording_Ranks!I61))</f>
        <v>0.2</v>
      </c>
      <c r="F77" s="52" t="n">
        <f aca="false">IF(OR(Wording_Ranks!M61="Not covered",Wording_Ranks!M61="Child-only"),$C$12,INDEX($C$7:$C$11,Wording_Ranks!L61))</f>
        <v>0.6</v>
      </c>
      <c r="G77" s="52" t="n">
        <f aca="false">IF(OR(Wording_Ranks!O61="Not covered",Wording_Ranks!O61="Child-only"),$C$12,INDEX($C$7:$C$11,Wording_Ranks!N61))</f>
        <v>0.4</v>
      </c>
    </row>
    <row r="78" customFormat="false" ht="15" hidden="false" customHeight="true" outlineLevel="0" collapsed="false">
      <c r="A78" s="40" t="n">
        <f aca="false">Wording_Ranks!A62</f>
        <v>61</v>
      </c>
      <c r="B78" s="27" t="str">
        <f aca="false">Wording_Ranks!B62</f>
        <v>Severe Sepsis</v>
      </c>
      <c r="C78" s="52" t="n">
        <f aca="false">IF(OR(Wording_Ranks!F62="Not covered",Wording_Ranks!F62="Child-only"),$C$12,INDEX($C$7:$C$11,Wording_Ranks!E62))</f>
        <v>0</v>
      </c>
      <c r="D78" s="52" t="n">
        <f aca="false">IF(OR(Wording_Ranks!H62="Not covered",Wording_Ranks!H62="Child-only"),$C$12,INDEX($C$7:$C$11,Wording_Ranks!G62))</f>
        <v>0</v>
      </c>
      <c r="E78" s="52" t="n">
        <f aca="false">IF(OR(Wording_Ranks!J62="Not covered",Wording_Ranks!J62="Child-only"),$C$12,INDEX($C$7:$C$11,Wording_Ranks!I62))</f>
        <v>0.2</v>
      </c>
      <c r="F78" s="52" t="n">
        <f aca="false">IF(OR(Wording_Ranks!M62="Not covered",Wording_Ranks!M62="Child-only"),$C$12,INDEX($C$7:$C$11,Wording_Ranks!L62))</f>
        <v>1</v>
      </c>
      <c r="G78" s="52" t="n">
        <f aca="false">IF(OR(Wording_Ranks!O62="Not covered",Wording_Ranks!O62="Child-only"),$C$12,INDEX($C$7:$C$11,Wording_Ranks!N62))</f>
        <v>0</v>
      </c>
    </row>
    <row r="79" customFormat="false" ht="15" hidden="false" customHeight="true" outlineLevel="0" collapsed="false">
      <c r="A79" s="40" t="n">
        <f aca="false">Wording_Ranks!A63</f>
        <v>62</v>
      </c>
      <c r="B79" s="27" t="str">
        <f aca="false">Wording_Ranks!B63</f>
        <v>Brain Injury Due to Anoxia or Hypoxia</v>
      </c>
      <c r="C79" s="52" t="n">
        <f aca="false">IF(OR(Wording_Ranks!F63="Not covered",Wording_Ranks!F63="Child-only"),$C$12,INDEX($C$7:$C$11,Wording_Ranks!E63))</f>
        <v>0.6</v>
      </c>
      <c r="D79" s="52" t="n">
        <f aca="false">IF(OR(Wording_Ranks!H63="Not covered",Wording_Ranks!H63="Child-only"),$C$12,INDEX($C$7:$C$11,Wording_Ranks!G63))</f>
        <v>1</v>
      </c>
      <c r="E79" s="52" t="n">
        <f aca="false">IF(OR(Wording_Ranks!J63="Not covered",Wording_Ranks!J63="Child-only"),$C$12,INDEX($C$7:$C$11,Wording_Ranks!I63))</f>
        <v>0.2</v>
      </c>
      <c r="F79" s="52" t="n">
        <f aca="false">IF(OR(Wording_Ranks!M63="Not covered",Wording_Ranks!M63="Child-only"),$C$12,INDEX($C$7:$C$11,Wording_Ranks!L63))</f>
        <v>0.4</v>
      </c>
      <c r="G79" s="52" t="n">
        <f aca="false">IF(OR(Wording_Ranks!O63="Not covered",Wording_Ranks!O63="Child-only"),$C$12,INDEX($C$7:$C$11,Wording_Ranks!N63))</f>
        <v>0.8</v>
      </c>
    </row>
    <row r="80" customFormat="false" ht="15" hidden="false" customHeight="true" outlineLevel="0" collapsed="false">
      <c r="A80" s="40" t="n">
        <f aca="false">Wording_Ranks!A64</f>
        <v>63</v>
      </c>
      <c r="B80" s="27" t="str">
        <f aca="false">Wording_Ranks!B64</f>
        <v>Cauda Equina Syndrome</v>
      </c>
      <c r="C80" s="52" t="n">
        <f aca="false">IF(OR(Wording_Ranks!F64="Not covered",Wording_Ranks!F64="Child-only"),$C$12,INDEX($C$7:$C$11,Wording_Ranks!E64))</f>
        <v>0</v>
      </c>
      <c r="D80" s="52" t="n">
        <f aca="false">IF(OR(Wording_Ranks!H64="Not covered",Wording_Ranks!H64="Child-only"),$C$12,INDEX($C$7:$C$11,Wording_Ranks!G64))</f>
        <v>0</v>
      </c>
      <c r="E80" s="52" t="n">
        <f aca="false">IF(OR(Wording_Ranks!J64="Not covered",Wording_Ranks!J64="Child-only"),$C$12,INDEX($C$7:$C$11,Wording_Ranks!I64))</f>
        <v>0.2</v>
      </c>
      <c r="F80" s="52" t="n">
        <f aca="false">IF(OR(Wording_Ranks!M64="Not covered",Wording_Ranks!M64="Child-only"),$C$12,INDEX($C$7:$C$11,Wording_Ranks!L64))</f>
        <v>1</v>
      </c>
      <c r="G80" s="52" t="n">
        <f aca="false">IF(OR(Wording_Ranks!O64="Not covered",Wording_Ranks!O64="Child-only"),$C$12,INDEX($C$7:$C$11,Wording_Ranks!N64))</f>
        <v>0</v>
      </c>
    </row>
    <row r="81" customFormat="false" ht="15" hidden="false" customHeight="true" outlineLevel="0" collapsed="false">
      <c r="A81" s="40" t="n">
        <f aca="false">Wording_Ranks!A65</f>
        <v>64</v>
      </c>
      <c r="B81" s="27" t="str">
        <f aca="false">Wording_Ranks!B65</f>
        <v>Coma – Resulting in Permanent Symptoms</v>
      </c>
      <c r="C81" s="52" t="n">
        <f aca="false">IF(OR(Wording_Ranks!F65="Not covered",Wording_Ranks!F65="Child-only"),$C$12,INDEX($C$7:$C$11,Wording_Ranks!E65))</f>
        <v>0.4</v>
      </c>
      <c r="D81" s="52" t="n">
        <f aca="false">IF(OR(Wording_Ranks!H65="Not covered",Wording_Ranks!H65="Child-only"),$C$12,INDEX($C$7:$C$11,Wording_Ranks!G65))</f>
        <v>0.8</v>
      </c>
      <c r="E81" s="52" t="n">
        <f aca="false">IF(OR(Wording_Ranks!J65="Not covered",Wording_Ranks!J65="Child-only"),$C$12,INDEX($C$7:$C$11,Wording_Ranks!I65))</f>
        <v>0.2</v>
      </c>
      <c r="F81" s="52" t="n">
        <f aca="false">IF(OR(Wording_Ranks!M65="Not covered",Wording_Ranks!M65="Child-only"),$C$12,INDEX($C$7:$C$11,Wording_Ranks!L65))</f>
        <v>0.6</v>
      </c>
      <c r="G81" s="52" t="n">
        <f aca="false">IF(OR(Wording_Ranks!O65="Not covered",Wording_Ranks!O65="Child-only"),$C$12,INDEX($C$7:$C$11,Wording_Ranks!N65))</f>
        <v>1</v>
      </c>
    </row>
    <row r="82" customFormat="false" ht="15" hidden="false" customHeight="true" outlineLevel="0" collapsed="false">
      <c r="A82" s="40" t="n">
        <f aca="false">Wording_Ranks!A66</f>
        <v>65</v>
      </c>
      <c r="B82" s="27" t="str">
        <f aca="false">Wording_Ranks!B66</f>
        <v>Creutzfeldt-Jakob Disease (CJD)</v>
      </c>
      <c r="C82" s="52" t="n">
        <f aca="false">IF(OR(Wording_Ranks!F66="Not covered",Wording_Ranks!F66="Child-only"),$C$12,INDEX($C$7:$C$11,Wording_Ranks!E66))</f>
        <v>0.6</v>
      </c>
      <c r="D82" s="52" t="n">
        <f aca="false">IF(OR(Wording_Ranks!H66="Not covered",Wording_Ranks!H66="Child-only"),$C$12,INDEX($C$7:$C$11,Wording_Ranks!G66))</f>
        <v>0.8</v>
      </c>
      <c r="E82" s="52" t="n">
        <f aca="false">IF(OR(Wording_Ranks!J66="Not covered",Wording_Ranks!J66="Child-only"),$C$12,INDEX($C$7:$C$11,Wording_Ranks!I66))</f>
        <v>0.2</v>
      </c>
      <c r="F82" s="52" t="n">
        <f aca="false">IF(OR(Wording_Ranks!M66="Not covered",Wording_Ranks!M66="Child-only"),$C$12,INDEX($C$7:$C$11,Wording_Ranks!L66))</f>
        <v>0.4</v>
      </c>
      <c r="G82" s="52" t="n">
        <f aca="false">IF(OR(Wording_Ranks!O66="Not covered",Wording_Ranks!O66="Child-only"),$C$12,INDEX($C$7:$C$11,Wording_Ranks!N66))</f>
        <v>1</v>
      </c>
    </row>
    <row r="83" customFormat="false" ht="15" hidden="false" customHeight="true" outlineLevel="0" collapsed="false">
      <c r="A83" s="40" t="n">
        <f aca="false">Wording_Ranks!A67</f>
        <v>66</v>
      </c>
      <c r="B83" s="27" t="str">
        <f aca="false">Wording_Ranks!B67</f>
        <v>Drug-Resistant Epilepsy</v>
      </c>
      <c r="C83" s="52" t="n">
        <f aca="false">IF(OR(Wording_Ranks!F67="Not covered",Wording_Ranks!F67="Child-only"),$C$12,INDEX($C$7:$C$11,Wording_Ranks!E67))</f>
        <v>0</v>
      </c>
      <c r="D83" s="52" t="n">
        <f aca="false">IF(OR(Wording_Ranks!H67="Not covered",Wording_Ranks!H67="Child-only"),$C$12,INDEX($C$7:$C$11,Wording_Ranks!G67))</f>
        <v>0</v>
      </c>
      <c r="E83" s="52" t="n">
        <f aca="false">IF(OR(Wording_Ranks!J67="Not covered",Wording_Ranks!J67="Child-only"),$C$12,INDEX($C$7:$C$11,Wording_Ranks!I67))</f>
        <v>0</v>
      </c>
      <c r="F83" s="52" t="n">
        <f aca="false">IF(OR(Wording_Ranks!M67="Not covered",Wording_Ranks!M67="Child-only"),$C$12,INDEX($C$7:$C$11,Wording_Ranks!L67))</f>
        <v>1</v>
      </c>
      <c r="G83" s="52" t="n">
        <f aca="false">IF(OR(Wording_Ranks!O67="Not covered",Wording_Ranks!O67="Child-only"),$C$12,INDEX($C$7:$C$11,Wording_Ranks!N67))</f>
        <v>0</v>
      </c>
    </row>
    <row r="84" customFormat="false" ht="15" hidden="false" customHeight="true" outlineLevel="0" collapsed="false">
      <c r="A84" s="40" t="n">
        <f aca="false">Wording_Ranks!A68</f>
        <v>67</v>
      </c>
      <c r="B84" s="27" t="str">
        <f aca="false">Wording_Ranks!B68</f>
        <v>Guillain-Barré Syndrome</v>
      </c>
      <c r="C84" s="52" t="n">
        <f aca="false">IF(OR(Wording_Ranks!F68="Not covered",Wording_Ranks!F68="Child-only"),$C$12,INDEX($C$7:$C$11,Wording_Ranks!E68))</f>
        <v>0</v>
      </c>
      <c r="D84" s="52" t="n">
        <f aca="false">IF(OR(Wording_Ranks!H68="Not covered",Wording_Ranks!H68="Child-only"),$C$12,INDEX($C$7:$C$11,Wording_Ranks!G68))</f>
        <v>0</v>
      </c>
      <c r="E84" s="52" t="n">
        <f aca="false">IF(OR(Wording_Ranks!J68="Not covered",Wording_Ranks!J68="Child-only"),$C$12,INDEX($C$7:$C$11,Wording_Ranks!I68))</f>
        <v>0</v>
      </c>
      <c r="F84" s="52" t="n">
        <f aca="false">IF(OR(Wording_Ranks!M68="Not covered",Wording_Ranks!M68="Child-only"),$C$12,INDEX($C$7:$C$11,Wording_Ranks!L68))</f>
        <v>1</v>
      </c>
      <c r="G84" s="52" t="n">
        <f aca="false">IF(OR(Wording_Ranks!O68="Not covered",Wording_Ranks!O68="Child-only"),$C$12,INDEX($C$7:$C$11,Wording_Ranks!N68))</f>
        <v>0</v>
      </c>
    </row>
    <row r="85" customFormat="false" ht="15" hidden="false" customHeight="true" outlineLevel="0" collapsed="false">
      <c r="A85" s="40" t="n">
        <f aca="false">Wording_Ranks!A69</f>
        <v>68</v>
      </c>
      <c r="B85" s="27" t="str">
        <f aca="false">Wording_Ranks!B69</f>
        <v>Motor Neurone Disease – Resulting in Permanent Symptoms</v>
      </c>
      <c r="C85" s="52" t="n">
        <f aca="false">IF(OR(Wording_Ranks!F69="Not covered",Wording_Ranks!F69="Child-only"),$C$12,INDEX($C$7:$C$11,Wording_Ranks!E69))</f>
        <v>0.6</v>
      </c>
      <c r="D85" s="52" t="n">
        <f aca="false">IF(OR(Wording_Ranks!H69="Not covered",Wording_Ranks!H69="Child-only"),$C$12,INDEX($C$7:$C$11,Wording_Ranks!G69))</f>
        <v>0.8</v>
      </c>
      <c r="E85" s="52" t="n">
        <f aca="false">IF(OR(Wording_Ranks!J69="Not covered",Wording_Ranks!J69="Child-only"),$C$12,INDEX($C$7:$C$11,Wording_Ranks!I69))</f>
        <v>0.2</v>
      </c>
      <c r="F85" s="52" t="n">
        <f aca="false">IF(OR(Wording_Ranks!M69="Not covered",Wording_Ranks!M69="Child-only"),$C$12,INDEX($C$7:$C$11,Wording_Ranks!L69))</f>
        <v>0.4</v>
      </c>
      <c r="G85" s="52" t="n">
        <f aca="false">IF(OR(Wording_Ranks!O69="Not covered",Wording_Ranks!O69="Child-only"),$C$12,INDEX($C$7:$C$11,Wording_Ranks!N69))</f>
        <v>1</v>
      </c>
    </row>
    <row r="86" customFormat="false" ht="15" hidden="false" customHeight="true" outlineLevel="0" collapsed="false">
      <c r="A86" s="40" t="n">
        <f aca="false">Wording_Ranks!A70</f>
        <v>69</v>
      </c>
      <c r="B86" s="27" t="str">
        <f aca="false">Wording_Ranks!B70</f>
        <v>Multiple Sclerosis (incl. NMO/Devic's Disease) – with Persisting Symptoms</v>
      </c>
      <c r="C86" s="52" t="n">
        <f aca="false">IF(OR(Wording_Ranks!F70="Not covered",Wording_Ranks!F70="Child-only"),$C$12,INDEX($C$7:$C$11,Wording_Ranks!E70))</f>
        <v>0.4</v>
      </c>
      <c r="D86" s="52" t="n">
        <f aca="false">IF(OR(Wording_Ranks!H70="Not covered",Wording_Ranks!H70="Child-only"),$C$12,INDEX($C$7:$C$11,Wording_Ranks!G70))</f>
        <v>0.8</v>
      </c>
      <c r="E86" s="52" t="n">
        <f aca="false">IF(OR(Wording_Ranks!J70="Not covered",Wording_Ranks!J70="Child-only"),$C$12,INDEX($C$7:$C$11,Wording_Ranks!I70))</f>
        <v>0.6</v>
      </c>
      <c r="F86" s="52" t="n">
        <f aca="false">IF(OR(Wording_Ranks!M70="Not covered",Wording_Ranks!M70="Child-only"),$C$12,INDEX($C$7:$C$11,Wording_Ranks!L70))</f>
        <v>0.2</v>
      </c>
      <c r="G86" s="52" t="n">
        <f aca="false">IF(OR(Wording_Ranks!O70="Not covered",Wording_Ranks!O70="Child-only"),$C$12,INDEX($C$7:$C$11,Wording_Ranks!N70))</f>
        <v>1</v>
      </c>
    </row>
    <row r="87" customFormat="false" ht="15" hidden="false" customHeight="true" outlineLevel="0" collapsed="false">
      <c r="A87" s="40" t="n">
        <f aca="false">Wording_Ranks!A71</f>
        <v>70</v>
      </c>
      <c r="B87" s="27" t="str">
        <f aca="false">Wording_Ranks!B71</f>
        <v>Multiple System Atrophy</v>
      </c>
      <c r="C87" s="52" t="n">
        <f aca="false">IF(OR(Wording_Ranks!F71="Not covered",Wording_Ranks!F71="Child-only"),$C$12,INDEX($C$7:$C$11,Wording_Ranks!E71))</f>
        <v>1</v>
      </c>
      <c r="D87" s="52" t="n">
        <f aca="false">IF(OR(Wording_Ranks!H71="Not covered",Wording_Ranks!H71="Child-only"),$C$12,INDEX($C$7:$C$11,Wording_Ranks!G71))</f>
        <v>0</v>
      </c>
      <c r="E87" s="52" t="n">
        <f aca="false">IF(OR(Wording_Ranks!J71="Not covered",Wording_Ranks!J71="Child-only"),$C$12,INDEX($C$7:$C$11,Wording_Ranks!I71))</f>
        <v>0.8</v>
      </c>
      <c r="F87" s="52" t="n">
        <f aca="false">IF(OR(Wording_Ranks!M71="Not covered",Wording_Ranks!M71="Child-only"),$C$12,INDEX($C$7:$C$11,Wording_Ranks!L71))</f>
        <v>0</v>
      </c>
      <c r="G87" s="52" t="n">
        <f aca="false">IF(OR(Wording_Ranks!O71="Not covered",Wording_Ranks!O71="Child-only"),$C$12,INDEX($C$7:$C$11,Wording_Ranks!N71))</f>
        <v>0</v>
      </c>
    </row>
    <row r="88" customFormat="false" ht="15" hidden="false" customHeight="true" outlineLevel="0" collapsed="false">
      <c r="A88" s="40" t="n">
        <f aca="false">Wording_Ranks!A72</f>
        <v>71</v>
      </c>
      <c r="B88" s="27" t="str">
        <f aca="false">Wording_Ranks!B72</f>
        <v>Muscular Dystrophy</v>
      </c>
      <c r="C88" s="52" t="n">
        <f aca="false">IF(OR(Wording_Ranks!F72="Not covered",Wording_Ranks!F72="Child-only"),$C$12,INDEX($C$7:$C$11,Wording_Ranks!E72))</f>
        <v>0</v>
      </c>
      <c r="D88" s="52" t="n">
        <f aca="false">IF(OR(Wording_Ranks!H72="Not covered",Wording_Ranks!H72="Child-only"),$C$12,INDEX($C$7:$C$11,Wording_Ranks!G72))</f>
        <v>0</v>
      </c>
      <c r="E88" s="52" t="n">
        <f aca="false">IF(OR(Wording_Ranks!J72="Not covered",Wording_Ranks!J72="Child-only"),$C$12,INDEX($C$7:$C$11,Wording_Ranks!I72))</f>
        <v>0.8</v>
      </c>
      <c r="F88" s="52" t="n">
        <f aca="false">IF(OR(Wording_Ranks!M72="Not covered",Wording_Ranks!M72="Child-only"),$C$12,INDEX($C$7:$C$11,Wording_Ranks!L72))</f>
        <v>1</v>
      </c>
      <c r="G88" s="52" t="n">
        <f aca="false">IF(OR(Wording_Ranks!O72="Not covered",Wording_Ranks!O72="Child-only"),$C$12,INDEX($C$7:$C$11,Wording_Ranks!N72))</f>
        <v>0</v>
      </c>
    </row>
    <row r="89" customFormat="false" ht="15" hidden="false" customHeight="true" outlineLevel="0" collapsed="false">
      <c r="A89" s="40" t="n">
        <f aca="false">Wording_Ranks!A73</f>
        <v>72</v>
      </c>
      <c r="B89" s="27" t="str">
        <f aca="false">Wording_Ranks!B73</f>
        <v>Myasthenia Gravis</v>
      </c>
      <c r="C89" s="52" t="n">
        <f aca="false">IF(OR(Wording_Ranks!F73="Not covered",Wording_Ranks!F73="Child-only"),$C$12,INDEX($C$7:$C$11,Wording_Ranks!E73))</f>
        <v>0</v>
      </c>
      <c r="D89" s="52" t="n">
        <f aca="false">IF(OR(Wording_Ranks!H73="Not covered",Wording_Ranks!H73="Child-only"),$C$12,INDEX($C$7:$C$11,Wording_Ranks!G73))</f>
        <v>0</v>
      </c>
      <c r="E89" s="52" t="n">
        <f aca="false">IF(OR(Wording_Ranks!J73="Not covered",Wording_Ranks!J73="Child-only"),$C$12,INDEX($C$7:$C$11,Wording_Ranks!I73))</f>
        <v>0.2</v>
      </c>
      <c r="F89" s="52" t="n">
        <f aca="false">IF(OR(Wording_Ranks!M73="Not covered",Wording_Ranks!M73="Child-only"),$C$12,INDEX($C$7:$C$11,Wording_Ranks!L73))</f>
        <v>1</v>
      </c>
      <c r="G89" s="52" t="n">
        <f aca="false">IF(OR(Wording_Ranks!O73="Not covered",Wording_Ranks!O73="Child-only"),$C$12,INDEX($C$7:$C$11,Wording_Ranks!N73))</f>
        <v>0</v>
      </c>
    </row>
    <row r="90" customFormat="false" ht="15" hidden="false" customHeight="true" outlineLevel="0" collapsed="false">
      <c r="A90" s="40" t="n">
        <f aca="false">Wording_Ranks!A74</f>
        <v>73</v>
      </c>
      <c r="B90" s="27" t="str">
        <f aca="false">Wording_Ranks!B74</f>
        <v>Parkinson Plus Syndromes</v>
      </c>
      <c r="C90" s="52" t="n">
        <f aca="false">IF(OR(Wording_Ranks!F74="Not covered",Wording_Ranks!F74="Child-only"),$C$12,INDEX($C$7:$C$11,Wording_Ranks!E74))</f>
        <v>0.6</v>
      </c>
      <c r="D90" s="52" t="n">
        <f aca="false">IF(OR(Wording_Ranks!H74="Not covered",Wording_Ranks!H74="Child-only"),$C$12,INDEX($C$7:$C$11,Wording_Ranks!G74))</f>
        <v>0.8</v>
      </c>
      <c r="E90" s="52" t="n">
        <f aca="false">IF(OR(Wording_Ranks!J74="Not covered",Wording_Ranks!J74="Child-only"),$C$12,INDEX($C$7:$C$11,Wording_Ranks!I74))</f>
        <v>0.2</v>
      </c>
      <c r="F90" s="52" t="n">
        <f aca="false">IF(OR(Wording_Ranks!M74="Not covered",Wording_Ranks!M74="Child-only"),$C$12,INDEX($C$7:$C$11,Wording_Ranks!L74))</f>
        <v>0.4</v>
      </c>
      <c r="G90" s="52" t="n">
        <f aca="false">IF(OR(Wording_Ranks!O74="Not covered",Wording_Ranks!O74="Child-only"),$C$12,INDEX($C$7:$C$11,Wording_Ranks!N74))</f>
        <v>1</v>
      </c>
    </row>
    <row r="91" customFormat="false" ht="15" hidden="false" customHeight="true" outlineLevel="0" collapsed="false">
      <c r="A91" s="40" t="n">
        <f aca="false">Wording_Ranks!A75</f>
        <v>74</v>
      </c>
      <c r="B91" s="27" t="str">
        <f aca="false">Wording_Ranks!B75</f>
        <v>Parkinson's Disease – Resulting in Permanent Symptoms</v>
      </c>
      <c r="C91" s="52" t="n">
        <f aca="false">IF(OR(Wording_Ranks!F75="Not covered",Wording_Ranks!F75="Child-only"),$C$12,INDEX($C$7:$C$11,Wording_Ranks!E75))</f>
        <v>0.6</v>
      </c>
      <c r="D91" s="52" t="n">
        <f aca="false">IF(OR(Wording_Ranks!H75="Not covered",Wording_Ranks!H75="Child-only"),$C$12,INDEX($C$7:$C$11,Wording_Ranks!G75))</f>
        <v>0.8</v>
      </c>
      <c r="E91" s="52" t="n">
        <f aca="false">IF(OR(Wording_Ranks!J75="Not covered",Wording_Ranks!J75="Child-only"),$C$12,INDEX($C$7:$C$11,Wording_Ranks!I75))</f>
        <v>0.2</v>
      </c>
      <c r="F91" s="52" t="n">
        <f aca="false">IF(OR(Wording_Ranks!M75="Not covered",Wording_Ranks!M75="Child-only"),$C$12,INDEX($C$7:$C$11,Wording_Ranks!L75))</f>
        <v>0.4</v>
      </c>
      <c r="G91" s="52" t="n">
        <f aca="false">IF(OR(Wording_Ranks!O75="Not covered",Wording_Ranks!O75="Child-only"),$C$12,INDEX($C$7:$C$11,Wording_Ranks!N75))</f>
        <v>1</v>
      </c>
    </row>
    <row r="92" customFormat="false" ht="15" hidden="false" customHeight="true" outlineLevel="0" collapsed="false">
      <c r="A92" s="40" t="n">
        <f aca="false">Wording_Ranks!A76</f>
        <v>75</v>
      </c>
      <c r="B92" s="27" t="str">
        <f aca="false">Wording_Ranks!B76</f>
        <v>Progressive Supranuclear Palsy</v>
      </c>
      <c r="C92" s="52" t="n">
        <f aca="false">IF(OR(Wording_Ranks!F76="Not covered",Wording_Ranks!F76="Child-only"),$C$12,INDEX($C$7:$C$11,Wording_Ranks!E76))</f>
        <v>1</v>
      </c>
      <c r="D92" s="52" t="n">
        <f aca="false">IF(OR(Wording_Ranks!H76="Not covered",Wording_Ranks!H76="Child-only"),$C$12,INDEX($C$7:$C$11,Wording_Ranks!G76))</f>
        <v>0</v>
      </c>
      <c r="E92" s="52" t="n">
        <f aca="false">IF(OR(Wording_Ranks!J76="Not covered",Wording_Ranks!J76="Child-only"),$C$12,INDEX($C$7:$C$11,Wording_Ranks!I76))</f>
        <v>0.8</v>
      </c>
      <c r="F92" s="52" t="n">
        <f aca="false">IF(OR(Wording_Ranks!M76="Not covered",Wording_Ranks!M76="Child-only"),$C$12,INDEX($C$7:$C$11,Wording_Ranks!L76))</f>
        <v>0</v>
      </c>
      <c r="G92" s="52" t="n">
        <f aca="false">IF(OR(Wording_Ranks!O76="Not covered",Wording_Ranks!O76="Child-only"),$C$12,INDEX($C$7:$C$11,Wording_Ranks!N76))</f>
        <v>0</v>
      </c>
    </row>
    <row r="93" customFormat="false" ht="15" hidden="false" customHeight="true" outlineLevel="0" collapsed="false">
      <c r="A93" s="40" t="n">
        <f aca="false">Wording_Ranks!A77</f>
        <v>76</v>
      </c>
      <c r="B93" s="27" t="str">
        <f aca="false">Wording_Ranks!B77</f>
        <v>Syringomyelia or Syringobulbia</v>
      </c>
      <c r="C93" s="52" t="n">
        <f aca="false">IF(OR(Wording_Ranks!F77="Not covered",Wording_Ranks!F77="Child-only"),$C$12,INDEX($C$7:$C$11,Wording_Ranks!E77))</f>
        <v>0.4</v>
      </c>
      <c r="D93" s="52" t="n">
        <f aca="false">IF(OR(Wording_Ranks!H77="Not covered",Wording_Ranks!H77="Child-only"),$C$12,INDEX($C$7:$C$11,Wording_Ranks!G77))</f>
        <v>1</v>
      </c>
      <c r="E93" s="52" t="n">
        <f aca="false">IF(OR(Wording_Ranks!J77="Not covered",Wording_Ranks!J77="Child-only"),$C$12,INDEX($C$7:$C$11,Wording_Ranks!I77))</f>
        <v>0.2</v>
      </c>
      <c r="F93" s="52" t="n">
        <f aca="false">IF(OR(Wording_Ranks!M77="Not covered",Wording_Ranks!M77="Child-only"),$C$12,INDEX($C$7:$C$11,Wording_Ranks!L77))</f>
        <v>0.8</v>
      </c>
      <c r="G93" s="52" t="n">
        <f aca="false">IF(OR(Wording_Ranks!O77="Not covered",Wording_Ranks!O77="Child-only"),$C$12,INDEX($C$7:$C$11,Wording_Ranks!N77))</f>
        <v>0.6</v>
      </c>
    </row>
    <row r="94" customFormat="false" ht="15" hidden="false" customHeight="true" outlineLevel="0" collapsed="false">
      <c r="A94" s="40" t="n">
        <f aca="false">Wording_Ranks!A78</f>
        <v>77</v>
      </c>
      <c r="B94" s="27" t="str">
        <f aca="false">Wording_Ranks!B78</f>
        <v>Cerebral Palsy</v>
      </c>
      <c r="C94" s="52" t="n">
        <f aca="false">IF(OR(Wording_Ranks!F78="Not covered",Wording_Ranks!F78="Child-only"),$C$12,INDEX($C$7:$C$11,Wording_Ranks!E78))</f>
        <v>0</v>
      </c>
      <c r="D94" s="52" t="n">
        <f aca="false">IF(OR(Wording_Ranks!H78="Not covered",Wording_Ranks!H78="Child-only"),$C$12,INDEX($C$7:$C$11,Wording_Ranks!G78))</f>
        <v>0</v>
      </c>
      <c r="E94" s="52" t="n">
        <f aca="false">IF(OR(Wording_Ranks!J78="Not covered",Wording_Ranks!J78="Child-only"),$C$12,INDEX($C$7:$C$11,Wording_Ranks!I78))</f>
        <v>0</v>
      </c>
      <c r="F94" s="52" t="n">
        <f aca="false">IF(OR(Wording_Ranks!M78="Not covered",Wording_Ranks!M78="Child-only"),$C$12,INDEX($C$7:$C$11,Wording_Ranks!L78))</f>
        <v>0</v>
      </c>
      <c r="G94" s="52" t="n">
        <f aca="false">IF(OR(Wording_Ranks!O78="Not covered",Wording_Ranks!O78="Child-only"),$C$12,INDEX($C$7:$C$11,Wording_Ranks!N78))</f>
        <v>0</v>
      </c>
    </row>
    <row r="95" customFormat="false" ht="15" hidden="false" customHeight="true" outlineLevel="0" collapsed="false">
      <c r="A95" s="40" t="n">
        <f aca="false">Wording_Ranks!A79</f>
        <v>78</v>
      </c>
      <c r="B95" s="27" t="str">
        <f aca="false">Wording_Ranks!B79</f>
        <v>Spina Bifida</v>
      </c>
      <c r="C95" s="52" t="n">
        <f aca="false">IF(OR(Wording_Ranks!F79="Not covered",Wording_Ranks!F79="Child-only"),$C$12,INDEX($C$7:$C$11,Wording_Ranks!E79))</f>
        <v>0</v>
      </c>
      <c r="D95" s="52" t="n">
        <f aca="false">IF(OR(Wording_Ranks!H79="Not covered",Wording_Ranks!H79="Child-only"),$C$12,INDEX($C$7:$C$11,Wording_Ranks!G79))</f>
        <v>0</v>
      </c>
      <c r="E95" s="52" t="n">
        <f aca="false">IF(OR(Wording_Ranks!J79="Not covered",Wording_Ranks!J79="Child-only"),$C$12,INDEX($C$7:$C$11,Wording_Ranks!I79))</f>
        <v>0</v>
      </c>
      <c r="F95" s="52" t="n">
        <f aca="false">IF(OR(Wording_Ranks!M79="Not covered",Wording_Ranks!M79="Child-only"),$C$12,INDEX($C$7:$C$11,Wording_Ranks!L79))</f>
        <v>0</v>
      </c>
      <c r="G95" s="52" t="n">
        <f aca="false">IF(OR(Wording_Ranks!O79="Not covered",Wording_Ranks!O79="Child-only"),$C$12,INDEX($C$7:$C$11,Wording_Ranks!N79))</f>
        <v>0</v>
      </c>
    </row>
    <row r="96" customFormat="false" ht="15" hidden="false" customHeight="true" outlineLevel="0" collapsed="false">
      <c r="A96" s="40" t="n">
        <f aca="false">Wording_Ranks!A80</f>
        <v>79</v>
      </c>
      <c r="B96" s="27" t="str">
        <f aca="false">Wording_Ranks!B80</f>
        <v>Alzheimer's Disease / Dementia – Resulting in Permanent Symptoms</v>
      </c>
      <c r="C96" s="52" t="n">
        <f aca="false">IF(OR(Wording_Ranks!F80="Not covered",Wording_Ranks!F80="Child-only"),$C$12,INDEX($C$7:$C$11,Wording_Ranks!E80))</f>
        <v>0.6</v>
      </c>
      <c r="D96" s="52" t="n">
        <f aca="false">IF(OR(Wording_Ranks!H80="Not covered",Wording_Ranks!H80="Child-only"),$C$12,INDEX($C$7:$C$11,Wording_Ranks!G80))</f>
        <v>0.8</v>
      </c>
      <c r="E96" s="52" t="n">
        <f aca="false">IF(OR(Wording_Ranks!J80="Not covered",Wording_Ranks!J80="Child-only"),$C$12,INDEX($C$7:$C$11,Wording_Ranks!I80))</f>
        <v>0.2</v>
      </c>
      <c r="F96" s="52" t="n">
        <f aca="false">IF(OR(Wording_Ranks!M80="Not covered",Wording_Ranks!M80="Child-only"),$C$12,INDEX($C$7:$C$11,Wording_Ranks!L80))</f>
        <v>0.4</v>
      </c>
      <c r="G96" s="52" t="n">
        <f aca="false">IF(OR(Wording_Ranks!O80="Not covered",Wording_Ranks!O80="Child-only"),$C$12,INDEX($C$7:$C$11,Wording_Ranks!N80))</f>
        <v>1</v>
      </c>
    </row>
    <row r="97" customFormat="false" ht="15" hidden="false" customHeight="true" outlineLevel="0" collapsed="false">
      <c r="A97" s="40" t="n">
        <f aca="false">Wording_Ranks!A81</f>
        <v>80</v>
      </c>
      <c r="B97" s="27" t="str">
        <f aca="false">Wording_Ranks!B81</f>
        <v>Bacterial Meningitis – Resulting in Permanent Symptoms</v>
      </c>
      <c r="C97" s="52" t="n">
        <f aca="false">IF(OR(Wording_Ranks!F81="Not covered",Wording_Ranks!F81="Child-only"),$C$12,INDEX($C$7:$C$11,Wording_Ranks!E81))</f>
        <v>0.6</v>
      </c>
      <c r="D97" s="52" t="n">
        <f aca="false">IF(OR(Wording_Ranks!H81="Not covered",Wording_Ranks!H81="Child-only"),$C$12,INDEX($C$7:$C$11,Wording_Ranks!G81))</f>
        <v>1</v>
      </c>
      <c r="E97" s="52" t="n">
        <f aca="false">IF(OR(Wording_Ranks!J81="Not covered",Wording_Ranks!J81="Child-only"),$C$12,INDEX($C$7:$C$11,Wording_Ranks!I81))</f>
        <v>0.2</v>
      </c>
      <c r="F97" s="52" t="n">
        <f aca="false">IF(OR(Wording_Ranks!M81="Not covered",Wording_Ranks!M81="Child-only"),$C$12,INDEX($C$7:$C$11,Wording_Ranks!L81))</f>
        <v>0.8</v>
      </c>
      <c r="G97" s="52" t="n">
        <f aca="false">IF(OR(Wording_Ranks!O81="Not covered",Wording_Ranks!O81="Child-only"),$C$12,INDEX($C$7:$C$11,Wording_Ranks!N81))</f>
        <v>0.4</v>
      </c>
    </row>
    <row r="98" customFormat="false" ht="15" hidden="false" customHeight="true" outlineLevel="0" collapsed="false">
      <c r="A98" s="40" t="n">
        <f aca="false">Wording_Ranks!A82</f>
        <v>81</v>
      </c>
      <c r="B98" s="27" t="str">
        <f aca="false">Wording_Ranks!B82</f>
        <v>Brain Abscess – Drained via Craniotomy</v>
      </c>
      <c r="C98" s="52" t="n">
        <f aca="false">IF(OR(Wording_Ranks!F82="Not covered",Wording_Ranks!F82="Child-only"),$C$12,INDEX($C$7:$C$11,Wording_Ranks!E82))</f>
        <v>1</v>
      </c>
      <c r="D98" s="52" t="n">
        <f aca="false">IF(OR(Wording_Ranks!H82="Not covered",Wording_Ranks!H82="Child-only"),$C$12,INDEX($C$7:$C$11,Wording_Ranks!G82))</f>
        <v>0.4</v>
      </c>
      <c r="E98" s="52" t="n">
        <f aca="false">IF(OR(Wording_Ranks!J82="Not covered",Wording_Ranks!J82="Child-only"),$C$12,INDEX($C$7:$C$11,Wording_Ranks!I82))</f>
        <v>0.2</v>
      </c>
      <c r="F98" s="52" t="n">
        <f aca="false">IF(OR(Wording_Ranks!M82="Not covered",Wording_Ranks!M82="Child-only"),$C$12,INDEX($C$7:$C$11,Wording_Ranks!L82))</f>
        <v>0.6</v>
      </c>
      <c r="G98" s="52" t="n">
        <f aca="false">IF(OR(Wording_Ranks!O82="Not covered",Wording_Ranks!O82="Child-only"),$C$12,INDEX($C$7:$C$11,Wording_Ranks!N82))</f>
        <v>0.8</v>
      </c>
    </row>
    <row r="99" customFormat="false" ht="15" hidden="false" customHeight="true" outlineLevel="0" collapsed="false">
      <c r="A99" s="40" t="n">
        <f aca="false">Wording_Ranks!A83</f>
        <v>82</v>
      </c>
      <c r="B99" s="27" t="str">
        <f aca="false">Wording_Ranks!B83</f>
        <v>Encephalitis – Resulting in Permanent Symptoms</v>
      </c>
      <c r="C99" s="52" t="n">
        <f aca="false">IF(OR(Wording_Ranks!F83="Not covered",Wording_Ranks!F83="Child-only"),$C$12,INDEX($C$7:$C$11,Wording_Ranks!E83))</f>
        <v>0.6</v>
      </c>
      <c r="D99" s="52" t="n">
        <f aca="false">IF(OR(Wording_Ranks!H83="Not covered",Wording_Ranks!H83="Child-only"),$C$12,INDEX($C$7:$C$11,Wording_Ranks!G83))</f>
        <v>0.8</v>
      </c>
      <c r="E99" s="52" t="n">
        <f aca="false">IF(OR(Wording_Ranks!J83="Not covered",Wording_Ranks!J83="Child-only"),$C$12,INDEX($C$7:$C$11,Wording_Ranks!I83))</f>
        <v>0.2</v>
      </c>
      <c r="F99" s="52" t="n">
        <f aca="false">IF(OR(Wording_Ranks!M83="Not covered",Wording_Ranks!M83="Child-only"),$C$12,INDEX($C$7:$C$11,Wording_Ranks!L83))</f>
        <v>0.4</v>
      </c>
      <c r="G99" s="52" t="n">
        <f aca="false">IF(OR(Wording_Ranks!O83="Not covered",Wording_Ranks!O83="Child-only"),$C$12,INDEX($C$7:$C$11,Wording_Ranks!N83))</f>
        <v>1</v>
      </c>
    </row>
    <row r="100" customFormat="false" ht="15" hidden="false" customHeight="true" outlineLevel="0" collapsed="false">
      <c r="A100" s="40" t="n">
        <f aca="false">Wording_Ranks!A84</f>
        <v>83</v>
      </c>
      <c r="B100" s="27" t="str">
        <f aca="false">Wording_Ranks!B84</f>
        <v>Benign Brain Tumour – of Specified Severity</v>
      </c>
      <c r="C100" s="52" t="n">
        <f aca="false">IF(OR(Wording_Ranks!F84="Not covered",Wording_Ranks!F84="Child-only"),$C$12,INDEX($C$7:$C$11,Wording_Ranks!E84))</f>
        <v>0.4</v>
      </c>
      <c r="D100" s="52" t="n">
        <f aca="false">IF(OR(Wording_Ranks!H84="Not covered",Wording_Ranks!H84="Child-only"),$C$12,INDEX($C$7:$C$11,Wording_Ranks!G84))</f>
        <v>1</v>
      </c>
      <c r="E100" s="52" t="n">
        <f aca="false">IF(OR(Wording_Ranks!J84="Not covered",Wording_Ranks!J84="Child-only"),$C$12,INDEX($C$7:$C$11,Wording_Ranks!I84))</f>
        <v>0.2</v>
      </c>
      <c r="F100" s="52" t="n">
        <f aca="false">IF(OR(Wording_Ranks!M84="Not covered",Wording_Ranks!M84="Child-only"),$C$12,INDEX($C$7:$C$11,Wording_Ranks!L84))</f>
        <v>0.6</v>
      </c>
      <c r="G100" s="52" t="n">
        <f aca="false">IF(OR(Wording_Ranks!O84="Not covered",Wording_Ranks!O84="Child-only"),$C$12,INDEX($C$7:$C$11,Wording_Ranks!N84))</f>
        <v>0.8</v>
      </c>
    </row>
    <row r="101" customFormat="false" ht="15" hidden="false" customHeight="true" outlineLevel="0" collapsed="false">
      <c r="A101" s="40" t="n">
        <f aca="false">Wording_Ranks!A85</f>
        <v>84</v>
      </c>
      <c r="B101" s="27" t="str">
        <f aca="false">Wording_Ranks!B85</f>
        <v>Benign Spinal Cord Tumour</v>
      </c>
      <c r="C101" s="52" t="n">
        <f aca="false">IF(OR(Wording_Ranks!F85="Not covered",Wording_Ranks!F85="Child-only"),$C$12,INDEX($C$7:$C$11,Wording_Ranks!E85))</f>
        <v>0.4</v>
      </c>
      <c r="D101" s="52" t="n">
        <f aca="false">IF(OR(Wording_Ranks!H85="Not covered",Wording_Ranks!H85="Child-only"),$C$12,INDEX($C$7:$C$11,Wording_Ranks!G85))</f>
        <v>0.6</v>
      </c>
      <c r="E101" s="52" t="n">
        <f aca="false">IF(OR(Wording_Ranks!J85="Not covered",Wording_Ranks!J85="Child-only"),$C$12,INDEX($C$7:$C$11,Wording_Ranks!I85))</f>
        <v>0.2</v>
      </c>
      <c r="F101" s="52" t="n">
        <f aca="false">IF(OR(Wording_Ranks!M85="Not covered",Wording_Ranks!M85="Child-only"),$C$12,INDEX($C$7:$C$11,Wording_Ranks!L85))</f>
        <v>0.8</v>
      </c>
      <c r="G101" s="52" t="n">
        <f aca="false">IF(OR(Wording_Ranks!O85="Not covered",Wording_Ranks!O85="Child-only"),$C$12,INDEX($C$7:$C$11,Wording_Ranks!N85))</f>
        <v>1</v>
      </c>
    </row>
    <row r="102" customFormat="false" ht="15" hidden="false" customHeight="true" outlineLevel="0" collapsed="false">
      <c r="A102" s="40" t="n">
        <f aca="false">Wording_Ranks!A86</f>
        <v>85</v>
      </c>
      <c r="B102" s="27" t="str">
        <f aca="false">Wording_Ranks!B86</f>
        <v>Pituitary Gland Tumour</v>
      </c>
      <c r="C102" s="52" t="n">
        <f aca="false">IF(OR(Wording_Ranks!F86="Not covered",Wording_Ranks!F86="Child-only"),$C$12,INDEX($C$7:$C$11,Wording_Ranks!E86))</f>
        <v>0.6</v>
      </c>
      <c r="D102" s="52" t="n">
        <f aca="false">IF(OR(Wording_Ranks!H86="Not covered",Wording_Ranks!H86="Child-only"),$C$12,INDEX($C$7:$C$11,Wording_Ranks!G86))</f>
        <v>0.4</v>
      </c>
      <c r="E102" s="52" t="n">
        <f aca="false">IF(OR(Wording_Ranks!J86="Not covered",Wording_Ranks!J86="Child-only"),$C$12,INDEX($C$7:$C$11,Wording_Ranks!I86))</f>
        <v>0.2</v>
      </c>
      <c r="F102" s="52" t="n">
        <f aca="false">IF(OR(Wording_Ranks!M86="Not covered",Wording_Ranks!M86="Child-only"),$C$12,INDEX($C$7:$C$11,Wording_Ranks!L86))</f>
        <v>0.8</v>
      </c>
      <c r="G102" s="52" t="n">
        <f aca="false">IF(OR(Wording_Ranks!O86="Not covered",Wording_Ranks!O86="Child-only"),$C$12,INDEX($C$7:$C$11,Wording_Ranks!N86))</f>
        <v>1</v>
      </c>
    </row>
    <row r="103" customFormat="false" ht="15" hidden="false" customHeight="true" outlineLevel="0" collapsed="false">
      <c r="A103" s="40" t="n">
        <f aca="false">Wording_Ranks!A87</f>
        <v>86</v>
      </c>
      <c r="B103" s="27" t="str">
        <f aca="false">Wording_Ranks!B87</f>
        <v>Traumatic Brain / Head Injury – Resulting in Permanent Symptoms</v>
      </c>
      <c r="C103" s="52" t="n">
        <f aca="false">IF(OR(Wording_Ranks!F87="Not covered",Wording_Ranks!F87="Child-only"),$C$12,INDEX($C$7:$C$11,Wording_Ranks!E87))</f>
        <v>0.4</v>
      </c>
      <c r="D103" s="52" t="n">
        <f aca="false">IF(OR(Wording_Ranks!H87="Not covered",Wording_Ranks!H87="Child-only"),$C$12,INDEX($C$7:$C$11,Wording_Ranks!G87))</f>
        <v>0.8</v>
      </c>
      <c r="E103" s="52" t="n">
        <f aca="false">IF(OR(Wording_Ranks!J87="Not covered",Wording_Ranks!J87="Child-only"),$C$12,INDEX($C$7:$C$11,Wording_Ranks!I87))</f>
        <v>0.2</v>
      </c>
      <c r="F103" s="52" t="n">
        <f aca="false">IF(OR(Wording_Ranks!M87="Not covered",Wording_Ranks!M87="Child-only"),$C$12,INDEX($C$7:$C$11,Wording_Ranks!L87))</f>
        <v>0.6</v>
      </c>
      <c r="G103" s="52" t="n">
        <f aca="false">IF(OR(Wording_Ranks!O87="Not covered",Wording_Ranks!O87="Child-only"),$C$12,INDEX($C$7:$C$11,Wording_Ranks!N87))</f>
        <v>1</v>
      </c>
    </row>
    <row r="104" customFormat="false" ht="15" hidden="false" customHeight="true" outlineLevel="0" collapsed="false">
      <c r="A104" s="40" t="n">
        <f aca="false">Wording_Ranks!A88</f>
        <v>87</v>
      </c>
      <c r="B104" s="27" t="str">
        <f aca="false">Wording_Ranks!B88</f>
        <v>Cancer (Invasive) – Excluding Less Advanced Cases</v>
      </c>
      <c r="C104" s="52" t="n">
        <f aca="false">IF(OR(Wording_Ranks!F88="Not covered",Wording_Ranks!F88="Child-only"),$C$12,INDEX($C$7:$C$11,Wording_Ranks!E88))</f>
        <v>1</v>
      </c>
      <c r="D104" s="52" t="n">
        <f aca="false">IF(OR(Wording_Ranks!H88="Not covered",Wording_Ranks!H88="Child-only"),$C$12,INDEX($C$7:$C$11,Wording_Ranks!G88))</f>
        <v>0.4</v>
      </c>
      <c r="E104" s="52" t="n">
        <f aca="false">IF(OR(Wording_Ranks!J88="Not covered",Wording_Ranks!J88="Child-only"),$C$12,INDEX($C$7:$C$11,Wording_Ranks!I88))</f>
        <v>0.2</v>
      </c>
      <c r="F104" s="52" t="n">
        <f aca="false">IF(OR(Wording_Ranks!M88="Not covered",Wording_Ranks!M88="Child-only"),$C$12,INDEX($C$7:$C$11,Wording_Ranks!L88))</f>
        <v>0.8</v>
      </c>
      <c r="G104" s="52" t="n">
        <f aca="false">IF(OR(Wording_Ranks!O88="Not covered",Wording_Ranks!O88="Child-only"),$C$12,INDEX($C$7:$C$11,Wording_Ranks!N88))</f>
        <v>0.6</v>
      </c>
    </row>
    <row r="105" customFormat="false" ht="15" hidden="false" customHeight="true" outlineLevel="0" collapsed="false">
      <c r="A105" s="40" t="n">
        <f aca="false">Wording_Ranks!A89</f>
        <v>88</v>
      </c>
      <c r="B105" s="27" t="str">
        <f aca="false">Wording_Ranks!B89</f>
        <v>Carcinoma in Situ – Anus</v>
      </c>
      <c r="C105" s="52" t="n">
        <f aca="false">IF(OR(Wording_Ranks!F89="Not covered",Wording_Ranks!F89="Child-only"),$C$12,INDEX($C$7:$C$11,Wording_Ranks!E89))</f>
        <v>0.8</v>
      </c>
      <c r="D105" s="52" t="n">
        <f aca="false">IF(OR(Wording_Ranks!H89="Not covered",Wording_Ranks!H89="Child-only"),$C$12,INDEX($C$7:$C$11,Wording_Ranks!G89))</f>
        <v>0.8</v>
      </c>
      <c r="E105" s="52" t="n">
        <f aca="false">IF(OR(Wording_Ranks!J89="Not covered",Wording_Ranks!J89="Child-only"),$C$12,INDEX($C$7:$C$11,Wording_Ranks!I89))</f>
        <v>0</v>
      </c>
      <c r="F105" s="52" t="n">
        <f aca="false">IF(OR(Wording_Ranks!M89="Not covered",Wording_Ranks!M89="Child-only"),$C$12,INDEX($C$7:$C$11,Wording_Ranks!L89))</f>
        <v>1</v>
      </c>
      <c r="G105" s="52" t="n">
        <f aca="false">IF(OR(Wording_Ranks!O89="Not covered",Wording_Ranks!O89="Child-only"),$C$12,INDEX($C$7:$C$11,Wording_Ranks!N89))</f>
        <v>0</v>
      </c>
    </row>
    <row r="106" customFormat="false" ht="15" hidden="false" customHeight="true" outlineLevel="0" collapsed="false">
      <c r="A106" s="40" t="n">
        <f aca="false">Wording_Ranks!A90</f>
        <v>89</v>
      </c>
      <c r="B106" s="27" t="str">
        <f aca="false">Wording_Ranks!B90</f>
        <v>Carcinoma in Situ – Bile Ducts</v>
      </c>
      <c r="C106" s="52" t="n">
        <f aca="false">IF(OR(Wording_Ranks!F90="Not covered",Wording_Ranks!F90="Child-only"),$C$12,INDEX($C$7:$C$11,Wording_Ranks!E90))</f>
        <v>0.8</v>
      </c>
      <c r="D106" s="52" t="n">
        <f aca="false">IF(OR(Wording_Ranks!H90="Not covered",Wording_Ranks!H90="Child-only"),$C$12,INDEX($C$7:$C$11,Wording_Ranks!G90))</f>
        <v>0</v>
      </c>
      <c r="E106" s="52" t="n">
        <f aca="false">IF(OR(Wording_Ranks!J90="Not covered",Wording_Ranks!J90="Child-only"),$C$12,INDEX($C$7:$C$11,Wording_Ranks!I90))</f>
        <v>0</v>
      </c>
      <c r="F106" s="52" t="n">
        <f aca="false">IF(OR(Wording_Ranks!M90="Not covered",Wording_Ranks!M90="Child-only"),$C$12,INDEX($C$7:$C$11,Wording_Ranks!L90))</f>
        <v>1</v>
      </c>
      <c r="G106" s="52" t="n">
        <f aca="false">IF(OR(Wording_Ranks!O90="Not covered",Wording_Ranks!O90="Child-only"),$C$12,INDEX($C$7:$C$11,Wording_Ranks!N90))</f>
        <v>0</v>
      </c>
    </row>
    <row r="107" customFormat="false" ht="15" hidden="false" customHeight="true" outlineLevel="0" collapsed="false">
      <c r="A107" s="40" t="n">
        <f aca="false">Wording_Ranks!A91</f>
        <v>90</v>
      </c>
      <c r="B107" s="27" t="str">
        <f aca="false">Wording_Ranks!B91</f>
        <v>Carcinoma in Situ – Breast</v>
      </c>
      <c r="C107" s="52" t="n">
        <f aca="false">IF(OR(Wording_Ranks!F91="Not covered",Wording_Ranks!F91="Child-only"),$C$12,INDEX($C$7:$C$11,Wording_Ranks!E91))</f>
        <v>1</v>
      </c>
      <c r="D107" s="52" t="n">
        <f aca="false">IF(OR(Wording_Ranks!H91="Not covered",Wording_Ranks!H91="Child-only"),$C$12,INDEX($C$7:$C$11,Wording_Ranks!G91))</f>
        <v>0.6</v>
      </c>
      <c r="E107" s="52" t="n">
        <f aca="false">IF(OR(Wording_Ranks!J91="Not covered",Wording_Ranks!J91="Child-only"),$C$12,INDEX($C$7:$C$11,Wording_Ranks!I91))</f>
        <v>0.4</v>
      </c>
      <c r="F107" s="52" t="n">
        <f aca="false">IF(OR(Wording_Ranks!M91="Not covered",Wording_Ranks!M91="Child-only"),$C$12,INDEX($C$7:$C$11,Wording_Ranks!L91))</f>
        <v>0.8</v>
      </c>
      <c r="G107" s="52" t="n">
        <f aca="false">IF(OR(Wording_Ranks!O91="Not covered",Wording_Ranks!O91="Child-only"),$C$12,INDEX($C$7:$C$11,Wording_Ranks!N91))</f>
        <v>0</v>
      </c>
    </row>
    <row r="108" customFormat="false" ht="15" hidden="false" customHeight="true" outlineLevel="0" collapsed="false">
      <c r="A108" s="40" t="n">
        <f aca="false">Wording_Ranks!A92</f>
        <v>91</v>
      </c>
      <c r="B108" s="27" t="str">
        <f aca="false">Wording_Ranks!B92</f>
        <v>Carcinoma in Situ – Cervix</v>
      </c>
      <c r="C108" s="52" t="n">
        <f aca="false">IF(OR(Wording_Ranks!F92="Not covered",Wording_Ranks!F92="Child-only"),$C$12,INDEX($C$7:$C$11,Wording_Ranks!E92))</f>
        <v>0.8</v>
      </c>
      <c r="D108" s="52" t="n">
        <f aca="false">IF(OR(Wording_Ranks!H92="Not covered",Wording_Ranks!H92="Child-only"),$C$12,INDEX($C$7:$C$11,Wording_Ranks!G92))</f>
        <v>0.8</v>
      </c>
      <c r="E108" s="52" t="n">
        <f aca="false">IF(OR(Wording_Ranks!J92="Not covered",Wording_Ranks!J92="Child-only"),$C$12,INDEX($C$7:$C$11,Wording_Ranks!I92))</f>
        <v>0.2</v>
      </c>
      <c r="F108" s="52" t="n">
        <f aca="false">IF(OR(Wording_Ranks!M92="Not covered",Wording_Ranks!M92="Child-only"),$C$12,INDEX($C$7:$C$11,Wording_Ranks!L92))</f>
        <v>1</v>
      </c>
      <c r="G108" s="52" t="n">
        <f aca="false">IF(OR(Wording_Ranks!O92="Not covered",Wording_Ranks!O92="Child-only"),$C$12,INDEX($C$7:$C$11,Wording_Ranks!N92))</f>
        <v>0</v>
      </c>
    </row>
    <row r="109" customFormat="false" ht="15" hidden="false" customHeight="true" outlineLevel="0" collapsed="false">
      <c r="A109" s="40" t="n">
        <f aca="false">Wording_Ranks!A93</f>
        <v>92</v>
      </c>
      <c r="B109" s="27" t="str">
        <f aca="false">Wording_Ranks!B93</f>
        <v>Carcinoma in Situ – Colon or Rectum</v>
      </c>
      <c r="C109" s="52" t="n">
        <f aca="false">IF(OR(Wording_Ranks!F93="Not covered",Wording_Ranks!F93="Child-only"),$C$12,INDEX($C$7:$C$11,Wording_Ranks!E93))</f>
        <v>0.8</v>
      </c>
      <c r="D109" s="52" t="n">
        <f aca="false">IF(OR(Wording_Ranks!H93="Not covered",Wording_Ranks!H93="Child-only"),$C$12,INDEX($C$7:$C$11,Wording_Ranks!G93))</f>
        <v>0.8</v>
      </c>
      <c r="E109" s="52" t="n">
        <f aca="false">IF(OR(Wording_Ranks!J93="Not covered",Wording_Ranks!J93="Child-only"),$C$12,INDEX($C$7:$C$11,Wording_Ranks!I93))</f>
        <v>0.2</v>
      </c>
      <c r="F109" s="52" t="n">
        <f aca="false">IF(OR(Wording_Ranks!M93="Not covered",Wording_Ranks!M93="Child-only"),$C$12,INDEX($C$7:$C$11,Wording_Ranks!L93))</f>
        <v>1</v>
      </c>
      <c r="G109" s="52" t="n">
        <f aca="false">IF(OR(Wording_Ranks!O93="Not covered",Wording_Ranks!O93="Child-only"),$C$12,INDEX($C$7:$C$11,Wording_Ranks!N93))</f>
        <v>0</v>
      </c>
    </row>
    <row r="110" customFormat="false" ht="15" hidden="false" customHeight="true" outlineLevel="0" collapsed="false">
      <c r="A110" s="40" t="n">
        <f aca="false">Wording_Ranks!A94</f>
        <v>93</v>
      </c>
      <c r="B110" s="27" t="str">
        <f aca="false">Wording_Ranks!B94</f>
        <v>Carcinoma in Situ – Gallbladder</v>
      </c>
      <c r="C110" s="52" t="n">
        <f aca="false">IF(OR(Wording_Ranks!F94="Not covered",Wording_Ranks!F94="Child-only"),$C$12,INDEX($C$7:$C$11,Wording_Ranks!E94))</f>
        <v>0.8</v>
      </c>
      <c r="D110" s="52" t="n">
        <f aca="false">IF(OR(Wording_Ranks!H94="Not covered",Wording_Ranks!H94="Child-only"),$C$12,INDEX($C$7:$C$11,Wording_Ranks!G94))</f>
        <v>0</v>
      </c>
      <c r="E110" s="52" t="n">
        <f aca="false">IF(OR(Wording_Ranks!J94="Not covered",Wording_Ranks!J94="Child-only"),$C$12,INDEX($C$7:$C$11,Wording_Ranks!I94))</f>
        <v>0</v>
      </c>
      <c r="F110" s="52" t="n">
        <f aca="false">IF(OR(Wording_Ranks!M94="Not covered",Wording_Ranks!M94="Child-only"),$C$12,INDEX($C$7:$C$11,Wording_Ranks!L94))</f>
        <v>1</v>
      </c>
      <c r="G110" s="52" t="n">
        <f aca="false">IF(OR(Wording_Ranks!O94="Not covered",Wording_Ranks!O94="Child-only"),$C$12,INDEX($C$7:$C$11,Wording_Ranks!N94))</f>
        <v>0</v>
      </c>
    </row>
    <row r="111" customFormat="false" ht="15" hidden="false" customHeight="true" outlineLevel="0" collapsed="false">
      <c r="A111" s="40" t="n">
        <f aca="false">Wording_Ranks!A95</f>
        <v>94</v>
      </c>
      <c r="B111" s="27" t="str">
        <f aca="false">Wording_Ranks!B95</f>
        <v>Carcinoma in Situ – Larynx</v>
      </c>
      <c r="C111" s="52" t="n">
        <f aca="false">IF(OR(Wording_Ranks!F95="Not covered",Wording_Ranks!F95="Child-only"),$C$12,INDEX($C$7:$C$11,Wording_Ranks!E95))</f>
        <v>0.8</v>
      </c>
      <c r="D111" s="52" t="n">
        <f aca="false">IF(OR(Wording_Ranks!H95="Not covered",Wording_Ranks!H95="Child-only"),$C$12,INDEX($C$7:$C$11,Wording_Ranks!G95))</f>
        <v>0.8</v>
      </c>
      <c r="E111" s="52" t="n">
        <f aca="false">IF(OR(Wording_Ranks!J95="Not covered",Wording_Ranks!J95="Child-only"),$C$12,INDEX($C$7:$C$11,Wording_Ranks!I95))</f>
        <v>0</v>
      </c>
      <c r="F111" s="52" t="n">
        <f aca="false">IF(OR(Wording_Ranks!M95="Not covered",Wording_Ranks!M95="Child-only"),$C$12,INDEX($C$7:$C$11,Wording_Ranks!L95))</f>
        <v>1</v>
      </c>
      <c r="G111" s="52" t="n">
        <f aca="false">IF(OR(Wording_Ranks!O95="Not covered",Wording_Ranks!O95="Child-only"),$C$12,INDEX($C$7:$C$11,Wording_Ranks!N95))</f>
        <v>0</v>
      </c>
    </row>
    <row r="112" customFormat="false" ht="15" hidden="false" customHeight="true" outlineLevel="0" collapsed="false">
      <c r="A112" s="40" t="n">
        <f aca="false">Wording_Ranks!A96</f>
        <v>95</v>
      </c>
      <c r="B112" s="27" t="str">
        <f aca="false">Wording_Ranks!B96</f>
        <v>Carcinoma in Situ – Lung/Bronchus</v>
      </c>
      <c r="C112" s="52" t="n">
        <f aca="false">IF(OR(Wording_Ranks!F96="Not covered",Wording_Ranks!F96="Child-only"),$C$12,INDEX($C$7:$C$11,Wording_Ranks!E96))</f>
        <v>0.8</v>
      </c>
      <c r="D112" s="52" t="n">
        <f aca="false">IF(OR(Wording_Ranks!H96="Not covered",Wording_Ranks!H96="Child-only"),$C$12,INDEX($C$7:$C$11,Wording_Ranks!G96))</f>
        <v>0.8</v>
      </c>
      <c r="E112" s="52" t="n">
        <f aca="false">IF(OR(Wording_Ranks!J96="Not covered",Wording_Ranks!J96="Child-only"),$C$12,INDEX($C$7:$C$11,Wording_Ranks!I96))</f>
        <v>0</v>
      </c>
      <c r="F112" s="52" t="n">
        <f aca="false">IF(OR(Wording_Ranks!M96="Not covered",Wording_Ranks!M96="Child-only"),$C$12,INDEX($C$7:$C$11,Wording_Ranks!L96))</f>
        <v>1</v>
      </c>
      <c r="G112" s="52" t="n">
        <f aca="false">IF(OR(Wording_Ranks!O96="Not covered",Wording_Ranks!O96="Child-only"),$C$12,INDEX($C$7:$C$11,Wording_Ranks!N96))</f>
        <v>0</v>
      </c>
    </row>
    <row r="113" customFormat="false" ht="15" hidden="false" customHeight="true" outlineLevel="0" collapsed="false">
      <c r="A113" s="40" t="n">
        <f aca="false">Wording_Ranks!A97</f>
        <v>96</v>
      </c>
      <c r="B113" s="27" t="str">
        <f aca="false">Wording_Ranks!B97</f>
        <v>Carcinoma in Situ – Oesophagus</v>
      </c>
      <c r="C113" s="52" t="n">
        <f aca="false">IF(OR(Wording_Ranks!F97="Not covered",Wording_Ranks!F97="Child-only"),$C$12,INDEX($C$7:$C$11,Wording_Ranks!E97))</f>
        <v>1</v>
      </c>
      <c r="D113" s="52" t="n">
        <f aca="false">IF(OR(Wording_Ranks!H97="Not covered",Wording_Ranks!H97="Child-only"),$C$12,INDEX($C$7:$C$11,Wording_Ranks!G97))</f>
        <v>0.4</v>
      </c>
      <c r="E113" s="52" t="n">
        <f aca="false">IF(OR(Wording_Ranks!J97="Not covered",Wording_Ranks!J97="Child-only"),$C$12,INDEX($C$7:$C$11,Wording_Ranks!I97))</f>
        <v>0.6</v>
      </c>
      <c r="F113" s="52" t="n">
        <f aca="false">IF(OR(Wording_Ranks!M97="Not covered",Wording_Ranks!M97="Child-only"),$C$12,INDEX($C$7:$C$11,Wording_Ranks!L97))</f>
        <v>0.8</v>
      </c>
      <c r="G113" s="52" t="n">
        <f aca="false">IF(OR(Wording_Ranks!O97="Not covered",Wording_Ranks!O97="Child-only"),$C$12,INDEX($C$7:$C$11,Wording_Ranks!N97))</f>
        <v>0</v>
      </c>
    </row>
    <row r="114" customFormat="false" ht="15" hidden="false" customHeight="true" outlineLevel="0" collapsed="false">
      <c r="A114" s="40" t="n">
        <f aca="false">Wording_Ranks!A98</f>
        <v>97</v>
      </c>
      <c r="B114" s="27" t="str">
        <f aca="false">Wording_Ranks!B98</f>
        <v>Carcinoma in Situ – Oral Cavity/Oropharynx</v>
      </c>
      <c r="C114" s="52" t="n">
        <f aca="false">IF(OR(Wording_Ranks!F98="Not covered",Wording_Ranks!F98="Child-only"),$C$12,INDEX($C$7:$C$11,Wording_Ranks!E98))</f>
        <v>0.8</v>
      </c>
      <c r="D114" s="52" t="n">
        <f aca="false">IF(OR(Wording_Ranks!H98="Not covered",Wording_Ranks!H98="Child-only"),$C$12,INDEX($C$7:$C$11,Wording_Ranks!G98))</f>
        <v>0.8</v>
      </c>
      <c r="E114" s="52" t="n">
        <f aca="false">IF(OR(Wording_Ranks!J98="Not covered",Wording_Ranks!J98="Child-only"),$C$12,INDEX($C$7:$C$11,Wording_Ranks!I98))</f>
        <v>0.2</v>
      </c>
      <c r="F114" s="52" t="n">
        <f aca="false">IF(OR(Wording_Ranks!M98="Not covered",Wording_Ranks!M98="Child-only"),$C$12,INDEX($C$7:$C$11,Wording_Ranks!L98))</f>
        <v>1</v>
      </c>
      <c r="G114" s="52" t="n">
        <f aca="false">IF(OR(Wording_Ranks!O98="Not covered",Wording_Ranks!O98="Child-only"),$C$12,INDEX($C$7:$C$11,Wording_Ranks!N98))</f>
        <v>0</v>
      </c>
    </row>
    <row r="115" customFormat="false" ht="15" hidden="false" customHeight="true" outlineLevel="0" collapsed="false">
      <c r="A115" s="40" t="n">
        <f aca="false">Wording_Ranks!A99</f>
        <v>98</v>
      </c>
      <c r="B115" s="27" t="str">
        <f aca="false">Wording_Ranks!B99</f>
        <v>Carcinoma in Situ – Other Sites</v>
      </c>
      <c r="C115" s="52" t="n">
        <f aca="false">IF(OR(Wording_Ranks!F99="Not covered",Wording_Ranks!F99="Child-only"),$C$12,INDEX($C$7:$C$11,Wording_Ranks!E99))</f>
        <v>0</v>
      </c>
      <c r="D115" s="52" t="n">
        <f aca="false">IF(OR(Wording_Ranks!H99="Not covered",Wording_Ranks!H99="Child-only"),$C$12,INDEX($C$7:$C$11,Wording_Ranks!G99))</f>
        <v>0.8</v>
      </c>
      <c r="E115" s="52" t="n">
        <f aca="false">IF(OR(Wording_Ranks!J99="Not covered",Wording_Ranks!J99="Child-only"),$C$12,INDEX($C$7:$C$11,Wording_Ranks!I99))</f>
        <v>0.2</v>
      </c>
      <c r="F115" s="52" t="n">
        <f aca="false">IF(OR(Wording_Ranks!M99="Not covered",Wording_Ranks!M99="Child-only"),$C$12,INDEX($C$7:$C$11,Wording_Ranks!L99))</f>
        <v>1</v>
      </c>
      <c r="G115" s="52" t="n">
        <f aca="false">IF(OR(Wording_Ranks!O99="Not covered",Wording_Ranks!O99="Child-only"),$C$12,INDEX($C$7:$C$11,Wording_Ranks!N99))</f>
        <v>0</v>
      </c>
    </row>
    <row r="116" customFormat="false" ht="15" hidden="false" customHeight="true" outlineLevel="0" collapsed="false">
      <c r="A116" s="40" t="n">
        <f aca="false">Wording_Ranks!A100</f>
        <v>99</v>
      </c>
      <c r="B116" s="27" t="str">
        <f aca="false">Wording_Ranks!B100</f>
        <v>Carcinoma in Situ – Pancreas</v>
      </c>
      <c r="C116" s="52" t="n">
        <f aca="false">IF(OR(Wording_Ranks!F100="Not covered",Wording_Ranks!F100="Child-only"),$C$12,INDEX($C$7:$C$11,Wording_Ranks!E100))</f>
        <v>0.8</v>
      </c>
      <c r="D116" s="52" t="n">
        <f aca="false">IF(OR(Wording_Ranks!H100="Not covered",Wording_Ranks!H100="Child-only"),$C$12,INDEX($C$7:$C$11,Wording_Ranks!G100))</f>
        <v>0</v>
      </c>
      <c r="E116" s="52" t="n">
        <f aca="false">IF(OR(Wording_Ranks!J100="Not covered",Wording_Ranks!J100="Child-only"),$C$12,INDEX($C$7:$C$11,Wording_Ranks!I100))</f>
        <v>0</v>
      </c>
      <c r="F116" s="52" t="n">
        <f aca="false">IF(OR(Wording_Ranks!M100="Not covered",Wording_Ranks!M100="Child-only"),$C$12,INDEX($C$7:$C$11,Wording_Ranks!L100))</f>
        <v>1</v>
      </c>
      <c r="G116" s="52" t="n">
        <f aca="false">IF(OR(Wording_Ranks!O100="Not covered",Wording_Ranks!O100="Child-only"),$C$12,INDEX($C$7:$C$11,Wording_Ranks!N100))</f>
        <v>0</v>
      </c>
    </row>
    <row r="117" customFormat="false" ht="15" hidden="false" customHeight="true" outlineLevel="0" collapsed="false">
      <c r="A117" s="40" t="n">
        <f aca="false">Wording_Ranks!A101</f>
        <v>100</v>
      </c>
      <c r="B117" s="27" t="str">
        <f aca="false">Wording_Ranks!B101</f>
        <v>Carcinoma in Situ – Renal Pelvis/Ureter</v>
      </c>
      <c r="C117" s="52" t="n">
        <f aca="false">IF(OR(Wording_Ranks!F101="Not covered",Wording_Ranks!F101="Child-only"),$C$12,INDEX($C$7:$C$11,Wording_Ranks!E101))</f>
        <v>0.8</v>
      </c>
      <c r="D117" s="52" t="n">
        <f aca="false">IF(OR(Wording_Ranks!H101="Not covered",Wording_Ranks!H101="Child-only"),$C$12,INDEX($C$7:$C$11,Wording_Ranks!G101))</f>
        <v>0.8</v>
      </c>
      <c r="E117" s="52" t="n">
        <f aca="false">IF(OR(Wording_Ranks!J101="Not covered",Wording_Ranks!J101="Child-only"),$C$12,INDEX($C$7:$C$11,Wording_Ranks!I101))</f>
        <v>0</v>
      </c>
      <c r="F117" s="52" t="n">
        <f aca="false">IF(OR(Wording_Ranks!M101="Not covered",Wording_Ranks!M101="Child-only"),$C$12,INDEX($C$7:$C$11,Wording_Ranks!L101))</f>
        <v>1</v>
      </c>
      <c r="G117" s="52" t="n">
        <f aca="false">IF(OR(Wording_Ranks!O101="Not covered",Wording_Ranks!O101="Child-only"),$C$12,INDEX($C$7:$C$11,Wording_Ranks!N101))</f>
        <v>0</v>
      </c>
    </row>
    <row r="118" customFormat="false" ht="15" hidden="false" customHeight="true" outlineLevel="0" collapsed="false">
      <c r="A118" s="40" t="n">
        <f aca="false">Wording_Ranks!A102</f>
        <v>101</v>
      </c>
      <c r="B118" s="27" t="str">
        <f aca="false">Wording_Ranks!B102</f>
        <v>Carcinoma in Situ – Stomach</v>
      </c>
      <c r="C118" s="52" t="n">
        <f aca="false">IF(OR(Wording_Ranks!F102="Not covered",Wording_Ranks!F102="Child-only"),$C$12,INDEX($C$7:$C$11,Wording_Ranks!E102))</f>
        <v>0.8</v>
      </c>
      <c r="D118" s="52" t="n">
        <f aca="false">IF(OR(Wording_Ranks!H102="Not covered",Wording_Ranks!H102="Child-only"),$C$12,INDEX($C$7:$C$11,Wording_Ranks!G102))</f>
        <v>0</v>
      </c>
      <c r="E118" s="52" t="n">
        <f aca="false">IF(OR(Wording_Ranks!J102="Not covered",Wording_Ranks!J102="Child-only"),$C$12,INDEX($C$7:$C$11,Wording_Ranks!I102))</f>
        <v>0</v>
      </c>
      <c r="F118" s="52" t="n">
        <f aca="false">IF(OR(Wording_Ranks!M102="Not covered",Wording_Ranks!M102="Child-only"),$C$12,INDEX($C$7:$C$11,Wording_Ranks!L102))</f>
        <v>1</v>
      </c>
      <c r="G118" s="52" t="n">
        <f aca="false">IF(OR(Wording_Ranks!O102="Not covered",Wording_Ranks!O102="Child-only"),$C$12,INDEX($C$7:$C$11,Wording_Ranks!N102))</f>
        <v>0</v>
      </c>
    </row>
    <row r="119" customFormat="false" ht="15" hidden="false" customHeight="true" outlineLevel="0" collapsed="false">
      <c r="A119" s="40" t="n">
        <f aca="false">Wording_Ranks!A103</f>
        <v>102</v>
      </c>
      <c r="B119" s="27" t="str">
        <f aca="false">Wording_Ranks!B103</f>
        <v>Carcinoma in Situ – Testicle</v>
      </c>
      <c r="C119" s="52" t="n">
        <f aca="false">IF(OR(Wording_Ranks!F103="Not covered",Wording_Ranks!F103="Child-only"),$C$12,INDEX($C$7:$C$11,Wording_Ranks!E103))</f>
        <v>0.8</v>
      </c>
      <c r="D119" s="52" t="n">
        <f aca="false">IF(OR(Wording_Ranks!H103="Not covered",Wording_Ranks!H103="Child-only"),$C$12,INDEX($C$7:$C$11,Wording_Ranks!G103))</f>
        <v>0.8</v>
      </c>
      <c r="E119" s="52" t="n">
        <f aca="false">IF(OR(Wording_Ranks!J103="Not covered",Wording_Ranks!J103="Child-only"),$C$12,INDEX($C$7:$C$11,Wording_Ranks!I103))</f>
        <v>0.2</v>
      </c>
      <c r="F119" s="52" t="n">
        <f aca="false">IF(OR(Wording_Ranks!M103="Not covered",Wording_Ranks!M103="Child-only"),$C$12,INDEX($C$7:$C$11,Wording_Ranks!L103))</f>
        <v>1</v>
      </c>
      <c r="G119" s="52" t="n">
        <f aca="false">IF(OR(Wording_Ranks!O103="Not covered",Wording_Ranks!O103="Child-only"),$C$12,INDEX($C$7:$C$11,Wording_Ranks!N103))</f>
        <v>0</v>
      </c>
    </row>
    <row r="120" customFormat="false" ht="15" hidden="false" customHeight="true" outlineLevel="0" collapsed="false">
      <c r="A120" s="40" t="n">
        <f aca="false">Wording_Ranks!A104</f>
        <v>103</v>
      </c>
      <c r="B120" s="27" t="str">
        <f aca="false">Wording_Ranks!B104</f>
        <v>Carcinoma in Situ – Thymus</v>
      </c>
      <c r="C120" s="52" t="n">
        <f aca="false">IF(OR(Wording_Ranks!F104="Not covered",Wording_Ranks!F104="Child-only"),$C$12,INDEX($C$7:$C$11,Wording_Ranks!E104))</f>
        <v>0.8</v>
      </c>
      <c r="D120" s="52" t="n">
        <f aca="false">IF(OR(Wording_Ranks!H104="Not covered",Wording_Ranks!H104="Child-only"),$C$12,INDEX($C$7:$C$11,Wording_Ranks!G104))</f>
        <v>0</v>
      </c>
      <c r="E120" s="52" t="n">
        <f aca="false">IF(OR(Wording_Ranks!J104="Not covered",Wording_Ranks!J104="Child-only"),$C$12,INDEX($C$7:$C$11,Wording_Ranks!I104))</f>
        <v>0</v>
      </c>
      <c r="F120" s="52" t="n">
        <f aca="false">IF(OR(Wording_Ranks!M104="Not covered",Wording_Ranks!M104="Child-only"),$C$12,INDEX($C$7:$C$11,Wording_Ranks!L104))</f>
        <v>1</v>
      </c>
      <c r="G120" s="52" t="n">
        <f aca="false">IF(OR(Wording_Ranks!O104="Not covered",Wording_Ranks!O104="Child-only"),$C$12,INDEX($C$7:$C$11,Wording_Ranks!N104))</f>
        <v>0</v>
      </c>
    </row>
    <row r="121" customFormat="false" ht="15" hidden="false" customHeight="true" outlineLevel="0" collapsed="false">
      <c r="A121" s="40" t="n">
        <f aca="false">Wording_Ranks!A105</f>
        <v>104</v>
      </c>
      <c r="B121" s="27" t="str">
        <f aca="false">Wording_Ranks!B105</f>
        <v>Carcinoma in Situ – Urinary Bladder</v>
      </c>
      <c r="C121" s="52" t="n">
        <f aca="false">IF(OR(Wording_Ranks!F105="Not covered",Wording_Ranks!F105="Child-only"),$C$12,INDEX($C$7:$C$11,Wording_Ranks!E105))</f>
        <v>1</v>
      </c>
      <c r="D121" s="52" t="n">
        <f aca="false">IF(OR(Wording_Ranks!H105="Not covered",Wording_Ranks!H105="Child-only"),$C$12,INDEX($C$7:$C$11,Wording_Ranks!G105))</f>
        <v>0.6</v>
      </c>
      <c r="E121" s="52" t="n">
        <f aca="false">IF(OR(Wording_Ranks!J105="Not covered",Wording_Ranks!J105="Child-only"),$C$12,INDEX($C$7:$C$11,Wording_Ranks!I105))</f>
        <v>0.2</v>
      </c>
      <c r="F121" s="52" t="n">
        <f aca="false">IF(OR(Wording_Ranks!M105="Not covered",Wording_Ranks!M105="Child-only"),$C$12,INDEX($C$7:$C$11,Wording_Ranks!L105))</f>
        <v>0.8</v>
      </c>
      <c r="G121" s="52" t="n">
        <f aca="false">IF(OR(Wording_Ranks!O105="Not covered",Wording_Ranks!O105="Child-only"),$C$12,INDEX($C$7:$C$11,Wording_Ranks!N105))</f>
        <v>0.6</v>
      </c>
    </row>
    <row r="122" customFormat="false" ht="15" hidden="false" customHeight="true" outlineLevel="0" collapsed="false">
      <c r="A122" s="40" t="n">
        <f aca="false">Wording_Ranks!A106</f>
        <v>105</v>
      </c>
      <c r="B122" s="27" t="str">
        <f aca="false">Wording_Ranks!B106</f>
        <v>Carcinoma in Situ – Uterus</v>
      </c>
      <c r="C122" s="52" t="n">
        <f aca="false">IF(OR(Wording_Ranks!F106="Not covered",Wording_Ranks!F106="Child-only"),$C$12,INDEX($C$7:$C$11,Wording_Ranks!E106))</f>
        <v>0.8</v>
      </c>
      <c r="D122" s="52" t="n">
        <f aca="false">IF(OR(Wording_Ranks!H106="Not covered",Wording_Ranks!H106="Child-only"),$C$12,INDEX($C$7:$C$11,Wording_Ranks!G106))</f>
        <v>0.8</v>
      </c>
      <c r="E122" s="52" t="n">
        <f aca="false">IF(OR(Wording_Ranks!J106="Not covered",Wording_Ranks!J106="Child-only"),$C$12,INDEX($C$7:$C$11,Wording_Ranks!I106))</f>
        <v>0</v>
      </c>
      <c r="F122" s="52" t="n">
        <f aca="false">IF(OR(Wording_Ranks!M106="Not covered",Wording_Ranks!M106="Child-only"),$C$12,INDEX($C$7:$C$11,Wording_Ranks!L106))</f>
        <v>1</v>
      </c>
      <c r="G122" s="52" t="n">
        <f aca="false">IF(OR(Wording_Ranks!O106="Not covered",Wording_Ranks!O106="Child-only"),$C$12,INDEX($C$7:$C$11,Wording_Ranks!N106))</f>
        <v>0</v>
      </c>
    </row>
    <row r="123" customFormat="false" ht="15" hidden="false" customHeight="true" outlineLevel="0" collapsed="false">
      <c r="A123" s="40" t="n">
        <f aca="false">Wording_Ranks!A107</f>
        <v>106</v>
      </c>
      <c r="B123" s="27" t="str">
        <f aca="false">Wording_Ranks!B107</f>
        <v>Carcinoma in Situ – Vagina</v>
      </c>
      <c r="C123" s="52" t="n">
        <f aca="false">IF(OR(Wording_Ranks!F107="Not covered",Wording_Ranks!F107="Child-only"),$C$12,INDEX($C$7:$C$11,Wording_Ranks!E107))</f>
        <v>0.8</v>
      </c>
      <c r="D123" s="52" t="n">
        <f aca="false">IF(OR(Wording_Ranks!H107="Not covered",Wording_Ranks!H107="Child-only"),$C$12,INDEX($C$7:$C$11,Wording_Ranks!G107))</f>
        <v>0.8</v>
      </c>
      <c r="E123" s="52" t="n">
        <f aca="false">IF(OR(Wording_Ranks!J107="Not covered",Wording_Ranks!J107="Child-only"),$C$12,INDEX($C$7:$C$11,Wording_Ranks!I107))</f>
        <v>0.2</v>
      </c>
      <c r="F123" s="52" t="n">
        <f aca="false">IF(OR(Wording_Ranks!M107="Not covered",Wording_Ranks!M107="Child-only"),$C$12,INDEX($C$7:$C$11,Wording_Ranks!L107))</f>
        <v>1</v>
      </c>
      <c r="G123" s="52" t="n">
        <f aca="false">IF(OR(Wording_Ranks!O107="Not covered",Wording_Ranks!O107="Child-only"),$C$12,INDEX($C$7:$C$11,Wording_Ranks!N107))</f>
        <v>0</v>
      </c>
    </row>
    <row r="124" customFormat="false" ht="15" hidden="false" customHeight="true" outlineLevel="0" collapsed="false">
      <c r="A124" s="40" t="n">
        <f aca="false">Wording_Ranks!A108</f>
        <v>107</v>
      </c>
      <c r="B124" s="27" t="str">
        <f aca="false">Wording_Ranks!B108</f>
        <v>Carcinoma in Situ – Vulva</v>
      </c>
      <c r="C124" s="52" t="n">
        <f aca="false">IF(OR(Wording_Ranks!F108="Not covered",Wording_Ranks!F108="Child-only"),$C$12,INDEX($C$7:$C$11,Wording_Ranks!E108))</f>
        <v>0.8</v>
      </c>
      <c r="D124" s="52" t="n">
        <f aca="false">IF(OR(Wording_Ranks!H108="Not covered",Wording_Ranks!H108="Child-only"),$C$12,INDEX($C$7:$C$11,Wording_Ranks!G108))</f>
        <v>0.8</v>
      </c>
      <c r="E124" s="52" t="n">
        <f aca="false">IF(OR(Wording_Ranks!J108="Not covered",Wording_Ranks!J108="Child-only"),$C$12,INDEX($C$7:$C$11,Wording_Ranks!I108))</f>
        <v>0.2</v>
      </c>
      <c r="F124" s="52" t="n">
        <f aca="false">IF(OR(Wording_Ranks!M108="Not covered",Wording_Ranks!M108="Child-only"),$C$12,INDEX($C$7:$C$11,Wording_Ranks!L108))</f>
        <v>1</v>
      </c>
      <c r="G124" s="52" t="n">
        <f aca="false">IF(OR(Wording_Ranks!O108="Not covered",Wording_Ranks!O108="Child-only"),$C$12,INDEX($C$7:$C$11,Wording_Ranks!N108))</f>
        <v>0</v>
      </c>
    </row>
    <row r="125" customFormat="false" ht="15" hidden="false" customHeight="true" outlineLevel="0" collapsed="false">
      <c r="A125" s="40" t="n">
        <f aca="false">Wording_Ranks!A109</f>
        <v>108</v>
      </c>
      <c r="B125" s="27" t="str">
        <f aca="false">Wording_Ranks!B109</f>
        <v>Desmoid-Type Fibromatosis</v>
      </c>
      <c r="C125" s="52" t="n">
        <f aca="false">IF(OR(Wording_Ranks!F109="Not covered",Wording_Ranks!F109="Child-only"),$C$12,INDEX($C$7:$C$11,Wording_Ranks!E109))</f>
        <v>0</v>
      </c>
      <c r="D125" s="52" t="n">
        <f aca="false">IF(OR(Wording_Ranks!H109="Not covered",Wording_Ranks!H109="Child-only"),$C$12,INDEX($C$7:$C$11,Wording_Ranks!G109))</f>
        <v>0</v>
      </c>
      <c r="E125" s="52" t="n">
        <f aca="false">IF(OR(Wording_Ranks!J109="Not covered",Wording_Ranks!J109="Child-only"),$C$12,INDEX($C$7:$C$11,Wording_Ranks!I109))</f>
        <v>0</v>
      </c>
      <c r="F125" s="52" t="n">
        <f aca="false">IF(OR(Wording_Ranks!M109="Not covered",Wording_Ranks!M109="Child-only"),$C$12,INDEX($C$7:$C$11,Wording_Ranks!L109))</f>
        <v>1</v>
      </c>
      <c r="G125" s="52" t="n">
        <f aca="false">IF(OR(Wording_Ranks!O109="Not covered",Wording_Ranks!O109="Child-only"),$C$12,INDEX($C$7:$C$11,Wording_Ranks!N109))</f>
        <v>0</v>
      </c>
    </row>
    <row r="126" customFormat="false" ht="15" hidden="false" customHeight="true" outlineLevel="0" collapsed="false">
      <c r="A126" s="40" t="n">
        <f aca="false">Wording_Ranks!A110</f>
        <v>109</v>
      </c>
      <c r="B126" s="27" t="str">
        <f aca="false">Wording_Ranks!B110</f>
        <v>GIST – Low Malignant Potential</v>
      </c>
      <c r="C126" s="52" t="n">
        <f aca="false">IF(OR(Wording_Ranks!F110="Not covered",Wording_Ranks!F110="Child-only"),$C$12,INDEX($C$7:$C$11,Wording_Ranks!E110))</f>
        <v>1</v>
      </c>
      <c r="D126" s="52" t="n">
        <f aca="false">IF(OR(Wording_Ranks!H110="Not covered",Wording_Ranks!H110="Child-only"),$C$12,INDEX($C$7:$C$11,Wording_Ranks!G110))</f>
        <v>0.4</v>
      </c>
      <c r="E126" s="52" t="n">
        <f aca="false">IF(OR(Wording_Ranks!J110="Not covered",Wording_Ranks!J110="Child-only"),$C$12,INDEX($C$7:$C$11,Wording_Ranks!I110))</f>
        <v>0.2</v>
      </c>
      <c r="F126" s="52" t="n">
        <f aca="false">IF(OR(Wording_Ranks!M110="Not covered",Wording_Ranks!M110="Child-only"),$C$12,INDEX($C$7:$C$11,Wording_Ranks!L110))</f>
        <v>0.6</v>
      </c>
      <c r="G126" s="52" t="n">
        <f aca="false">IF(OR(Wording_Ranks!O110="Not covered",Wording_Ranks!O110="Child-only"),$C$12,INDEX($C$7:$C$11,Wording_Ranks!N110))</f>
        <v>0.8</v>
      </c>
    </row>
    <row r="127" customFormat="false" ht="15" hidden="false" customHeight="true" outlineLevel="0" collapsed="false">
      <c r="A127" s="40" t="n">
        <f aca="false">Wording_Ranks!A111</f>
        <v>110</v>
      </c>
      <c r="B127" s="27" t="str">
        <f aca="false">Wording_Ranks!B111</f>
        <v>Hydatidiform Mole</v>
      </c>
      <c r="C127" s="52" t="n">
        <f aca="false">IF(OR(Wording_Ranks!F111="Not covered",Wording_Ranks!F111="Child-only"),$C$12,INDEX($C$7:$C$11,Wording_Ranks!E111))</f>
        <v>0</v>
      </c>
      <c r="D127" s="52" t="n">
        <f aca="false">IF(OR(Wording_Ranks!H111="Not covered",Wording_Ranks!H111="Child-only"),$C$12,INDEX($C$7:$C$11,Wording_Ranks!G111))</f>
        <v>1</v>
      </c>
      <c r="E127" s="52" t="n">
        <f aca="false">IF(OR(Wording_Ranks!J111="Not covered",Wording_Ranks!J111="Child-only"),$C$12,INDEX($C$7:$C$11,Wording_Ranks!I111))</f>
        <v>0</v>
      </c>
      <c r="F127" s="52" t="n">
        <f aca="false">IF(OR(Wording_Ranks!M111="Not covered",Wording_Ranks!M111="Child-only"),$C$12,INDEX($C$7:$C$11,Wording_Ranks!L111))</f>
        <v>0</v>
      </c>
      <c r="G127" s="52" t="n">
        <f aca="false">IF(OR(Wording_Ranks!O111="Not covered",Wording_Ranks!O111="Child-only"),$C$12,INDEX($C$7:$C$11,Wording_Ranks!N111))</f>
        <v>0</v>
      </c>
    </row>
    <row r="128" customFormat="false" ht="15" hidden="false" customHeight="true" outlineLevel="0" collapsed="false">
      <c r="A128" s="40" t="n">
        <f aca="false">Wording_Ranks!A112</f>
        <v>111</v>
      </c>
      <c r="B128" s="27" t="str">
        <f aca="false">Wording_Ranks!B112</f>
        <v>Neuroendocrine Tumour – Low Malignant Potential</v>
      </c>
      <c r="C128" s="52" t="n">
        <f aca="false">IF(OR(Wording_Ranks!F112="Not covered",Wording_Ranks!F112="Child-only"),$C$12,INDEX($C$7:$C$11,Wording_Ranks!E112))</f>
        <v>0.8</v>
      </c>
      <c r="D128" s="52" t="n">
        <f aca="false">IF(OR(Wording_Ranks!H112="Not covered",Wording_Ranks!H112="Child-only"),$C$12,INDEX($C$7:$C$11,Wording_Ranks!G112))</f>
        <v>0.4</v>
      </c>
      <c r="E128" s="52" t="n">
        <f aca="false">IF(OR(Wording_Ranks!J112="Not covered",Wording_Ranks!J112="Child-only"),$C$12,INDEX($C$7:$C$11,Wording_Ranks!I112))</f>
        <v>0.2</v>
      </c>
      <c r="F128" s="52" t="n">
        <f aca="false">IF(OR(Wording_Ranks!M112="Not covered",Wording_Ranks!M112="Child-only"),$C$12,INDEX($C$7:$C$11,Wording_Ranks!L112))</f>
        <v>0.6</v>
      </c>
      <c r="G128" s="52" t="n">
        <f aca="false">IF(OR(Wording_Ranks!O112="Not covered",Wording_Ranks!O112="Child-only"),$C$12,INDEX($C$7:$C$11,Wording_Ranks!N112))</f>
        <v>1</v>
      </c>
    </row>
    <row r="129" customFormat="false" ht="15" hidden="false" customHeight="true" outlineLevel="0" collapsed="false">
      <c r="A129" s="40" t="n">
        <f aca="false">Wording_Ranks!A113</f>
        <v>112</v>
      </c>
      <c r="B129" s="27" t="str">
        <f aca="false">Wording_Ranks!B113</f>
        <v>Ovarian Tumour – Borderline / Low Malignant Potential</v>
      </c>
      <c r="C129" s="52" t="n">
        <f aca="false">IF(OR(Wording_Ranks!F113="Not covered",Wording_Ranks!F113="Child-only"),$C$12,INDEX($C$7:$C$11,Wording_Ranks!E113))</f>
        <v>0.4</v>
      </c>
      <c r="D129" s="52" t="n">
        <f aca="false">IF(OR(Wording_Ranks!H113="Not covered",Wording_Ranks!H113="Child-only"),$C$12,INDEX($C$7:$C$11,Wording_Ranks!G113))</f>
        <v>0.6</v>
      </c>
      <c r="E129" s="52" t="n">
        <f aca="false">IF(OR(Wording_Ranks!J113="Not covered",Wording_Ranks!J113="Child-only"),$C$12,INDEX($C$7:$C$11,Wording_Ranks!I113))</f>
        <v>0.2</v>
      </c>
      <c r="F129" s="52" t="n">
        <f aca="false">IF(OR(Wording_Ranks!M113="Not covered",Wording_Ranks!M113="Child-only"),$C$12,INDEX($C$7:$C$11,Wording_Ranks!L113))</f>
        <v>0.8</v>
      </c>
      <c r="G129" s="52" t="n">
        <f aca="false">IF(OR(Wording_Ranks!O113="Not covered",Wording_Ranks!O113="Child-only"),$C$12,INDEX($C$7:$C$11,Wording_Ranks!N113))</f>
        <v>1</v>
      </c>
    </row>
    <row r="130" customFormat="false" ht="15" hidden="false" customHeight="true" outlineLevel="0" collapsed="false">
      <c r="A130" s="40" t="n">
        <f aca="false">Wording_Ranks!A114</f>
        <v>113</v>
      </c>
      <c r="B130" s="27" t="str">
        <f aca="false">Wording_Ranks!B114</f>
        <v>Primary Cutaneous Lymphoma</v>
      </c>
      <c r="C130" s="52" t="n">
        <f aca="false">IF(OR(Wording_Ranks!F114="Not covered",Wording_Ranks!F114="Child-only"),$C$12,INDEX($C$7:$C$11,Wording_Ranks!E114))</f>
        <v>0</v>
      </c>
      <c r="D130" s="52" t="n">
        <f aca="false">IF(OR(Wording_Ranks!H114="Not covered",Wording_Ranks!H114="Child-only"),$C$12,INDEX($C$7:$C$11,Wording_Ranks!G114))</f>
        <v>0</v>
      </c>
      <c r="E130" s="52" t="n">
        <f aca="false">IF(OR(Wording_Ranks!J114="Not covered",Wording_Ranks!J114="Child-only"),$C$12,INDEX($C$7:$C$11,Wording_Ranks!I114))</f>
        <v>0</v>
      </c>
      <c r="F130" s="52" t="n">
        <f aca="false">IF(OR(Wording_Ranks!M114="Not covered",Wording_Ranks!M114="Child-only"),$C$12,INDEX($C$7:$C$11,Wording_Ranks!L114))</f>
        <v>1</v>
      </c>
      <c r="G130" s="52" t="n">
        <f aca="false">IF(OR(Wording_Ranks!O114="Not covered",Wording_Ranks!O114="Child-only"),$C$12,INDEX($C$7:$C$11,Wording_Ranks!N114))</f>
        <v>0</v>
      </c>
    </row>
    <row r="131" customFormat="false" ht="15" hidden="false" customHeight="true" outlineLevel="0" collapsed="false">
      <c r="A131" s="40" t="n">
        <f aca="false">Wording_Ranks!A115</f>
        <v>114</v>
      </c>
      <c r="B131" s="27" t="str">
        <f aca="false">Wording_Ranks!B115</f>
        <v>30-day Related Claim Restriction (Operational)</v>
      </c>
      <c r="C131" s="52" t="n">
        <f aca="false">IF(OR(Wording_Ranks!F115="Not covered",Wording_Ranks!F115="Child-only"),$C$12,INDEX($C$7:$C$11,Wording_Ranks!E115))</f>
        <v>0</v>
      </c>
      <c r="D131" s="52" t="n">
        <f aca="false">IF(OR(Wording_Ranks!H115="Not covered",Wording_Ranks!H115="Child-only"),$C$12,INDEX($C$7:$C$11,Wording_Ranks!G115))</f>
        <v>1</v>
      </c>
      <c r="E131" s="52" t="n">
        <f aca="false">IF(OR(Wording_Ranks!J115="Not covered",Wording_Ranks!J115="Child-only"),$C$12,INDEX($C$7:$C$11,Wording_Ranks!I115))</f>
        <v>0</v>
      </c>
      <c r="F131" s="52" t="n">
        <f aca="false">IF(OR(Wording_Ranks!M115="Not covered",Wording_Ranks!M115="Child-only"),$C$12,INDEX($C$7:$C$11,Wording_Ranks!L115))</f>
        <v>0</v>
      </c>
      <c r="G131" s="52" t="n">
        <f aca="false">IF(OR(Wording_Ranks!O115="Not covered",Wording_Ranks!O115="Child-only"),$C$12,INDEX($C$7:$C$11,Wording_Ranks!N115))</f>
        <v>0</v>
      </c>
    </row>
    <row r="132" customFormat="false" ht="15" hidden="false" customHeight="true" outlineLevel="0" collapsed="false">
      <c r="A132" s="40" t="n">
        <f aca="false">Wording_Ranks!A116</f>
        <v>115</v>
      </c>
      <c r="B132" s="27" t="str">
        <f aca="false">Wording_Ranks!B116</f>
        <v>Eclampsia (Pregnancy)</v>
      </c>
      <c r="C132" s="52" t="n">
        <f aca="false">IF(OR(Wording_Ranks!F116="Not covered",Wording_Ranks!F116="Child-only"),$C$12,INDEX($C$7:$C$11,Wording_Ranks!E116))</f>
        <v>0</v>
      </c>
      <c r="D132" s="52" t="n">
        <f aca="false">IF(OR(Wording_Ranks!H116="Not covered",Wording_Ranks!H116="Child-only"),$C$12,INDEX($C$7:$C$11,Wording_Ranks!G116))</f>
        <v>1</v>
      </c>
      <c r="E132" s="52" t="n">
        <f aca="false">IF(OR(Wording_Ranks!J116="Not covered",Wording_Ranks!J116="Child-only"),$C$12,INDEX($C$7:$C$11,Wording_Ranks!I116))</f>
        <v>0</v>
      </c>
      <c r="F132" s="52" t="n">
        <f aca="false">IF(OR(Wording_Ranks!M116="Not covered",Wording_Ranks!M116="Child-only"),$C$12,INDEX($C$7:$C$11,Wording_Ranks!L116))</f>
        <v>0</v>
      </c>
      <c r="G132" s="52" t="n">
        <f aca="false">IF(OR(Wording_Ranks!O116="Not covered",Wording_Ranks!O116="Child-only"),$C$12,INDEX($C$7:$C$11,Wording_Ranks!N116))</f>
        <v>0</v>
      </c>
    </row>
    <row r="133" customFormat="false" ht="15" hidden="false" customHeight="true" outlineLevel="0" collapsed="false">
      <c r="A133" s="40" t="n">
        <f aca="false">Wording_Ranks!A117</f>
        <v>116</v>
      </c>
      <c r="B133" s="27" t="str">
        <f aca="false">Wording_Ranks!B117</f>
        <v>Ectopic Pregnancy</v>
      </c>
      <c r="C133" s="52" t="n">
        <f aca="false">IF(OR(Wording_Ranks!F117="Not covered",Wording_Ranks!F117="Child-only"),$C$12,INDEX($C$7:$C$11,Wording_Ranks!E117))</f>
        <v>0</v>
      </c>
      <c r="D133" s="52" t="n">
        <f aca="false">IF(OR(Wording_Ranks!H117="Not covered",Wording_Ranks!H117="Child-only"),$C$12,INDEX($C$7:$C$11,Wording_Ranks!G117))</f>
        <v>1</v>
      </c>
      <c r="E133" s="52" t="n">
        <f aca="false">IF(OR(Wording_Ranks!J117="Not covered",Wording_Ranks!J117="Child-only"),$C$12,INDEX($C$7:$C$11,Wording_Ranks!I117))</f>
        <v>0</v>
      </c>
      <c r="F133" s="52" t="n">
        <f aca="false">IF(OR(Wording_Ranks!M117="Not covered",Wording_Ranks!M117="Child-only"),$C$12,INDEX($C$7:$C$11,Wording_Ranks!L117))</f>
        <v>0</v>
      </c>
      <c r="G133" s="52" t="n">
        <f aca="false">IF(OR(Wording_Ranks!O117="Not covered",Wording_Ranks!O117="Child-only"),$C$12,INDEX($C$7:$C$11,Wording_Ranks!N117))</f>
        <v>0</v>
      </c>
    </row>
    <row r="134" customFormat="false" ht="15" hidden="false" customHeight="true" outlineLevel="0" collapsed="false">
      <c r="A134" s="40" t="n">
        <f aca="false">Wording_Ranks!A118</f>
        <v>117</v>
      </c>
      <c r="B134" s="27" t="str">
        <f aca="false">Wording_Ranks!B118</f>
        <v>Foetal Death in Utero (&gt;=20 weeks)</v>
      </c>
      <c r="C134" s="52" t="n">
        <f aca="false">IF(OR(Wording_Ranks!F118="Not covered",Wording_Ranks!F118="Child-only"),$C$12,INDEX($C$7:$C$11,Wording_Ranks!E118))</f>
        <v>0</v>
      </c>
      <c r="D134" s="52" t="n">
        <f aca="false">IF(OR(Wording_Ranks!H118="Not covered",Wording_Ranks!H118="Child-only"),$C$12,INDEX($C$7:$C$11,Wording_Ranks!G118))</f>
        <v>1</v>
      </c>
      <c r="E134" s="52" t="n">
        <f aca="false">IF(OR(Wording_Ranks!J118="Not covered",Wording_Ranks!J118="Child-only"),$C$12,INDEX($C$7:$C$11,Wording_Ranks!I118))</f>
        <v>0</v>
      </c>
      <c r="F134" s="52" t="n">
        <f aca="false">IF(OR(Wording_Ranks!M118="Not covered",Wording_Ranks!M118="Child-only"),$C$12,INDEX($C$7:$C$11,Wording_Ranks!L118))</f>
        <v>0</v>
      </c>
      <c r="G134" s="52" t="n">
        <f aca="false">IF(OR(Wording_Ranks!O118="Not covered",Wording_Ranks!O118="Child-only"),$C$12,INDEX($C$7:$C$11,Wording_Ranks!N118))</f>
        <v>0</v>
      </c>
    </row>
    <row r="135" customFormat="false" ht="15" hidden="false" customHeight="true" outlineLevel="0" collapsed="false">
      <c r="A135" s="40" t="n">
        <f aca="false">Wording_Ranks!A119</f>
        <v>118</v>
      </c>
      <c r="B135" s="27" t="str">
        <f aca="false">Wording_Ranks!B119</f>
        <v>Placental Abruption</v>
      </c>
      <c r="C135" s="52" t="n">
        <f aca="false">IF(OR(Wording_Ranks!F119="Not covered",Wording_Ranks!F119="Child-only"),$C$12,INDEX($C$7:$C$11,Wording_Ranks!E119))</f>
        <v>0</v>
      </c>
      <c r="D135" s="52" t="n">
        <f aca="false">IF(OR(Wording_Ranks!H119="Not covered",Wording_Ranks!H119="Child-only"),$C$12,INDEX($C$7:$C$11,Wording_Ranks!G119))</f>
        <v>1</v>
      </c>
      <c r="E135" s="52" t="n">
        <f aca="false">IF(OR(Wording_Ranks!J119="Not covered",Wording_Ranks!J119="Child-only"),$C$12,INDEX($C$7:$C$11,Wording_Ranks!I119))</f>
        <v>0</v>
      </c>
      <c r="F135" s="52" t="n">
        <f aca="false">IF(OR(Wording_Ranks!M119="Not covered",Wording_Ranks!M119="Child-only"),$C$12,INDEX($C$7:$C$11,Wording_Ranks!L119))</f>
        <v>0</v>
      </c>
      <c r="G135" s="52" t="n">
        <f aca="false">IF(OR(Wording_Ranks!O119="Not covered",Wording_Ranks!O119="Child-only"),$C$12,INDEX($C$7:$C$11,Wording_Ranks!N119))</f>
        <v>0</v>
      </c>
    </row>
    <row r="136" customFormat="false" ht="15" hidden="false" customHeight="true" outlineLevel="0" collapsed="false">
      <c r="A136" s="40" t="n">
        <f aca="false">Wording_Ranks!A120</f>
        <v>119</v>
      </c>
      <c r="B136" s="27" t="str">
        <f aca="false">Wording_Ranks!B120</f>
        <v>Severe Mental Illness</v>
      </c>
      <c r="C136" s="52" t="n">
        <f aca="false">IF(OR(Wording_Ranks!F120="Not covered",Wording_Ranks!F120="Child-only"),$C$12,INDEX($C$7:$C$11,Wording_Ranks!E120))</f>
        <v>0</v>
      </c>
      <c r="D136" s="52" t="n">
        <f aca="false">IF(OR(Wording_Ranks!H120="Not covered",Wording_Ranks!H120="Child-only"),$C$12,INDEX($C$7:$C$11,Wording_Ranks!G120))</f>
        <v>0</v>
      </c>
      <c r="E136" s="52" t="n">
        <f aca="false">IF(OR(Wording_Ranks!J120="Not covered",Wording_Ranks!J120="Child-only"),$C$12,INDEX($C$7:$C$11,Wording_Ranks!I120))</f>
        <v>0</v>
      </c>
      <c r="F136" s="52" t="n">
        <f aca="false">IF(OR(Wording_Ranks!M120="Not covered",Wording_Ranks!M120="Child-only"),$C$12,INDEX($C$7:$C$11,Wording_Ranks!L120))</f>
        <v>1</v>
      </c>
      <c r="G136" s="52" t="n">
        <f aca="false">IF(OR(Wording_Ranks!O120="Not covered",Wording_Ranks!O120="Child-only"),$C$12,INDEX($C$7:$C$11,Wording_Ranks!N120))</f>
        <v>0</v>
      </c>
    </row>
    <row r="137" customFormat="false" ht="15" hidden="false" customHeight="true" outlineLevel="0" collapsed="false">
      <c r="A137" s="40" t="n">
        <f aca="false">Wording_Ranks!A121</f>
        <v>120</v>
      </c>
      <c r="B137" s="27" t="str">
        <f aca="false">Wording_Ranks!B121</f>
        <v>Kidney Failure – Requiring Dialysis</v>
      </c>
      <c r="C137" s="52" t="n">
        <f aca="false">IF(OR(Wording_Ranks!F121="Not covered",Wording_Ranks!F121="Child-only"),$C$12,INDEX($C$7:$C$11,Wording_Ranks!E121))</f>
        <v>0.8</v>
      </c>
      <c r="D137" s="52" t="n">
        <f aca="false">IF(OR(Wording_Ranks!H121="Not covered",Wording_Ranks!H121="Child-only"),$C$12,INDEX($C$7:$C$11,Wording_Ranks!G121))</f>
        <v>0.4</v>
      </c>
      <c r="E137" s="52" t="n">
        <f aca="false">IF(OR(Wording_Ranks!J121="Not covered",Wording_Ranks!J121="Child-only"),$C$12,INDEX($C$7:$C$11,Wording_Ranks!I121))</f>
        <v>0.2</v>
      </c>
      <c r="F137" s="52" t="n">
        <f aca="false">IF(OR(Wording_Ranks!M121="Not covered",Wording_Ranks!M121="Child-only"),$C$12,INDEX($C$7:$C$11,Wording_Ranks!L121))</f>
        <v>1</v>
      </c>
      <c r="G137" s="52" t="n">
        <f aca="false">IF(OR(Wording_Ranks!O121="Not covered",Wording_Ranks!O121="Child-only"),$C$12,INDEX($C$7:$C$11,Wording_Ranks!N121))</f>
        <v>0.6</v>
      </c>
    </row>
    <row r="138" customFormat="false" ht="15" hidden="false" customHeight="true" outlineLevel="0" collapsed="false">
      <c r="A138" s="40" t="n">
        <f aca="false">Wording_Ranks!A122</f>
        <v>121</v>
      </c>
      <c r="B138" s="27" t="str">
        <f aca="false">Wording_Ranks!B122</f>
        <v>Interstitial Lung Disease</v>
      </c>
      <c r="C138" s="52" t="n">
        <f aca="false">IF(OR(Wording_Ranks!F122="Not covered",Wording_Ranks!F122="Child-only"),$C$12,INDEX($C$7:$C$11,Wording_Ranks!E122))</f>
        <v>0</v>
      </c>
      <c r="D138" s="52" t="n">
        <f aca="false">IF(OR(Wording_Ranks!H122="Not covered",Wording_Ranks!H122="Child-only"),$C$12,INDEX($C$7:$C$11,Wording_Ranks!G122))</f>
        <v>0</v>
      </c>
      <c r="E138" s="52" t="n">
        <f aca="false">IF(OR(Wording_Ranks!J122="Not covered",Wording_Ranks!J122="Child-only"),$C$12,INDEX($C$7:$C$11,Wording_Ranks!I122))</f>
        <v>0</v>
      </c>
      <c r="F138" s="52" t="n">
        <f aca="false">IF(OR(Wording_Ranks!M122="Not covered",Wording_Ranks!M122="Child-only"),$C$12,INDEX($C$7:$C$11,Wording_Ranks!L122))</f>
        <v>1</v>
      </c>
      <c r="G138" s="52" t="n">
        <f aca="false">IF(OR(Wording_Ranks!O122="Not covered",Wording_Ranks!O122="Child-only"),$C$12,INDEX($C$7:$C$11,Wording_Ranks!N122))</f>
        <v>0</v>
      </c>
    </row>
    <row r="139" customFormat="false" ht="15" hidden="false" customHeight="true" outlineLevel="0" collapsed="false">
      <c r="A139" s="40" t="n">
        <f aca="false">Wording_Ranks!A123</f>
        <v>122</v>
      </c>
      <c r="B139" s="27" t="str">
        <f aca="false">Wording_Ranks!B123</f>
        <v>Respiratory Failure</v>
      </c>
      <c r="C139" s="52" t="n">
        <f aca="false">IF(OR(Wording_Ranks!F123="Not covered",Wording_Ranks!F123="Child-only"),$C$12,INDEX($C$7:$C$11,Wording_Ranks!E123))</f>
        <v>0</v>
      </c>
      <c r="D139" s="52" t="n">
        <f aca="false">IF(OR(Wording_Ranks!H123="Not covered",Wording_Ranks!H123="Child-only"),$C$12,INDEX($C$7:$C$11,Wording_Ranks!G123))</f>
        <v>1</v>
      </c>
      <c r="E139" s="52" t="n">
        <f aca="false">IF(OR(Wording_Ranks!J123="Not covered",Wording_Ranks!J123="Child-only"),$C$12,INDEX($C$7:$C$11,Wording_Ranks!I123))</f>
        <v>0</v>
      </c>
      <c r="F139" s="52" t="n">
        <f aca="false">IF(OR(Wording_Ranks!M123="Not covered",Wording_Ranks!M123="Child-only"),$C$12,INDEX($C$7:$C$11,Wording_Ranks!L123))</f>
        <v>0</v>
      </c>
      <c r="G139" s="52" t="n">
        <f aca="false">IF(OR(Wording_Ranks!O123="Not covered",Wording_Ranks!O123="Child-only"),$C$12,INDEX($C$7:$C$11,Wording_Ranks!N123))</f>
        <v>0</v>
      </c>
    </row>
    <row r="140" customFormat="false" ht="15" hidden="false" customHeight="true" outlineLevel="0" collapsed="false">
      <c r="A140" s="40" t="n">
        <f aca="false">Wording_Ranks!A124</f>
        <v>123</v>
      </c>
      <c r="B140" s="27" t="str">
        <f aca="false">Wording_Ranks!B124</f>
        <v>Severe / Chronic Lung Disease</v>
      </c>
      <c r="C140" s="52" t="n">
        <f aca="false">IF(OR(Wording_Ranks!F124="Not covered",Wording_Ranks!F124="Child-only"),$C$12,INDEX($C$7:$C$11,Wording_Ranks!E124))</f>
        <v>0.8</v>
      </c>
      <c r="D140" s="52" t="n">
        <f aca="false">IF(OR(Wording_Ranks!H124="Not covered",Wording_Ranks!H124="Child-only"),$C$12,INDEX($C$7:$C$11,Wording_Ranks!G124))</f>
        <v>0</v>
      </c>
      <c r="E140" s="52" t="n">
        <f aca="false">IF(OR(Wording_Ranks!J124="Not covered",Wording_Ranks!J124="Child-only"),$C$12,INDEX($C$7:$C$11,Wording_Ranks!I124))</f>
        <v>0.4</v>
      </c>
      <c r="F140" s="52" t="n">
        <f aca="false">IF(OR(Wording_Ranks!M124="Not covered",Wording_Ranks!M124="Child-only"),$C$12,INDEX($C$7:$C$11,Wording_Ranks!L124))</f>
        <v>0.6</v>
      </c>
      <c r="G140" s="52" t="n">
        <f aca="false">IF(OR(Wording_Ranks!O124="Not covered",Wording_Ranks!O124="Child-only"),$C$12,INDEX($C$7:$C$11,Wording_Ranks!N124))</f>
        <v>1</v>
      </c>
    </row>
    <row r="141" customFormat="false" ht="15" hidden="false" customHeight="true" outlineLevel="0" collapsed="false">
      <c r="A141" s="40" t="n">
        <f aca="false">Wording_Ranks!A125</f>
        <v>124</v>
      </c>
      <c r="B141" s="27" t="str">
        <f aca="false">Wording_Ranks!B125</f>
        <v>Cystic Fibrosis</v>
      </c>
      <c r="C141" s="52" t="n">
        <f aca="false">IF(OR(Wording_Ranks!F125="Not covered",Wording_Ranks!F125="Child-only"),$C$12,INDEX($C$7:$C$11,Wording_Ranks!E125))</f>
        <v>0</v>
      </c>
      <c r="D141" s="52" t="n">
        <f aca="false">IF(OR(Wording_Ranks!H125="Not covered",Wording_Ranks!H125="Child-only"),$C$12,INDEX($C$7:$C$11,Wording_Ranks!G125))</f>
        <v>0</v>
      </c>
      <c r="E141" s="52" t="n">
        <f aca="false">IF(OR(Wording_Ranks!J125="Not covered",Wording_Ranks!J125="Child-only"),$C$12,INDEX($C$7:$C$11,Wording_Ranks!I125))</f>
        <v>0</v>
      </c>
      <c r="F141" s="52" t="n">
        <f aca="false">IF(OR(Wording_Ranks!M125="Not covered",Wording_Ranks!M125="Child-only"),$C$12,INDEX($C$7:$C$11,Wording_Ranks!L125))</f>
        <v>0</v>
      </c>
      <c r="G141" s="52" t="n">
        <f aca="false">IF(OR(Wording_Ranks!O125="Not covered",Wording_Ranks!O125="Child-only"),$C$12,INDEX($C$7:$C$11,Wording_Ranks!N125))</f>
        <v>0</v>
      </c>
    </row>
    <row r="142" customFormat="false" ht="15" hidden="false" customHeight="true" outlineLevel="0" collapsed="false">
      <c r="A142" s="40" t="n">
        <f aca="false">Wording_Ranks!A126</f>
        <v>125</v>
      </c>
      <c r="B142" s="27" t="str">
        <f aca="false">Wording_Ranks!B126</f>
        <v>Single Lobectomy – for Disease or Trauma (Partial)</v>
      </c>
      <c r="C142" s="52" t="n">
        <f aca="false">IF(OR(Wording_Ranks!F126="Not covered",Wording_Ranks!F126="Child-only"),$C$12,INDEX($C$7:$C$11,Wording_Ranks!E126))</f>
        <v>0.6</v>
      </c>
      <c r="D142" s="52" t="n">
        <f aca="false">IF(OR(Wording_Ranks!H126="Not covered",Wording_Ranks!H126="Child-only"),$C$12,INDEX($C$7:$C$11,Wording_Ranks!G126))</f>
        <v>0.4</v>
      </c>
      <c r="E142" s="52" t="n">
        <f aca="false">IF(OR(Wording_Ranks!J126="Not covered",Wording_Ranks!J126="Child-only"),$C$12,INDEX($C$7:$C$11,Wording_Ranks!I126))</f>
        <v>0.2</v>
      </c>
      <c r="F142" s="52" t="n">
        <f aca="false">IF(OR(Wording_Ranks!M126="Not covered",Wording_Ranks!M126="Child-only"),$C$12,INDEX($C$7:$C$11,Wording_Ranks!L126))</f>
        <v>0.8</v>
      </c>
      <c r="G142" s="52" t="n">
        <f aca="false">IF(OR(Wording_Ranks!O126="Not covered",Wording_Ranks!O126="Child-only"),$C$12,INDEX($C$7:$C$11,Wording_Ranks!N126))</f>
        <v>1</v>
      </c>
    </row>
    <row r="143" customFormat="false" ht="15" hidden="false" customHeight="true" outlineLevel="0" collapsed="false">
      <c r="A143" s="40" t="n">
        <f aca="false">Wording_Ranks!A127</f>
        <v>126</v>
      </c>
      <c r="B143" s="27" t="str">
        <f aca="false">Wording_Ranks!B127</f>
        <v>Total Pneumonectomy</v>
      </c>
      <c r="C143" s="52" t="n">
        <f aca="false">IF(OR(Wording_Ranks!F127="Not covered",Wording_Ranks!F127="Child-only"),$C$12,INDEX($C$7:$C$11,Wording_Ranks!E127))</f>
        <v>1</v>
      </c>
      <c r="D143" s="52" t="n">
        <f aca="false">IF(OR(Wording_Ranks!H127="Not covered",Wording_Ranks!H127="Child-only"),$C$12,INDEX($C$7:$C$11,Wording_Ranks!G127))</f>
        <v>0.4</v>
      </c>
      <c r="E143" s="52" t="n">
        <f aca="false">IF(OR(Wording_Ranks!J127="Not covered",Wording_Ranks!J127="Child-only"),$C$12,INDEX($C$7:$C$11,Wording_Ranks!I127))</f>
        <v>0.2</v>
      </c>
      <c r="F143" s="52" t="n">
        <f aca="false">IF(OR(Wording_Ranks!M127="Not covered",Wording_Ranks!M127="Child-only"),$C$12,INDEX($C$7:$C$11,Wording_Ranks!L127))</f>
        <v>0.8</v>
      </c>
      <c r="G143" s="52" t="n">
        <f aca="false">IF(OR(Wording_Ranks!O127="Not covered",Wording_Ranks!O127="Child-only"),$C$12,INDEX($C$7:$C$11,Wording_Ranks!N127))</f>
        <v>0.6</v>
      </c>
    </row>
    <row r="144" customFormat="false" ht="15" hidden="false" customHeight="true" outlineLevel="0" collapsed="false">
      <c r="A144" s="40" t="n">
        <f aca="false">Wording_Ranks!A128</f>
        <v>127</v>
      </c>
      <c r="B144" s="27" t="str">
        <f aca="false">Wording_Ranks!B128</f>
        <v>Blindness – Permanent and Irreversible</v>
      </c>
      <c r="C144" s="52" t="n">
        <f aca="false">IF(OR(Wording_Ranks!F128="Not covered",Wording_Ranks!F128="Child-only"),$C$12,INDEX($C$7:$C$11,Wording_Ranks!E128))</f>
        <v>0.4</v>
      </c>
      <c r="D144" s="52" t="n">
        <f aca="false">IF(OR(Wording_Ranks!H128="Not covered",Wording_Ranks!H128="Child-only"),$C$12,INDEX($C$7:$C$11,Wording_Ranks!G128))</f>
        <v>1</v>
      </c>
      <c r="E144" s="52" t="n">
        <f aca="false">IF(OR(Wording_Ranks!J128="Not covered",Wording_Ranks!J128="Child-only"),$C$12,INDEX($C$7:$C$11,Wording_Ranks!I128))</f>
        <v>0.2</v>
      </c>
      <c r="F144" s="52" t="n">
        <f aca="false">IF(OR(Wording_Ranks!M128="Not covered",Wording_Ranks!M128="Child-only"),$C$12,INDEX($C$7:$C$11,Wording_Ranks!L128))</f>
        <v>0.6</v>
      </c>
      <c r="G144" s="52" t="n">
        <f aca="false">IF(OR(Wording_Ranks!O128="Not covered",Wording_Ranks!O128="Child-only"),$C$12,INDEX($C$7:$C$11,Wording_Ranks!N128))</f>
        <v>0.8</v>
      </c>
    </row>
    <row r="145" customFormat="false" ht="15" hidden="false" customHeight="true" outlineLevel="0" collapsed="false">
      <c r="A145" s="40" t="n">
        <f aca="false">Wording_Ranks!A129</f>
        <v>128</v>
      </c>
      <c r="B145" s="27" t="str">
        <f aca="false">Wording_Ranks!B129</f>
        <v>Deafness – Permanent and Irreversible</v>
      </c>
      <c r="C145" s="52" t="n">
        <f aca="false">IF(OR(Wording_Ranks!F129="Not covered",Wording_Ranks!F129="Child-only"),$C$12,INDEX($C$7:$C$11,Wording_Ranks!E129))</f>
        <v>0.4</v>
      </c>
      <c r="D145" s="52" t="n">
        <f aca="false">IF(OR(Wording_Ranks!H129="Not covered",Wording_Ranks!H129="Child-only"),$C$12,INDEX($C$7:$C$11,Wording_Ranks!G129))</f>
        <v>0.8</v>
      </c>
      <c r="E145" s="52" t="n">
        <f aca="false">IF(OR(Wording_Ranks!J129="Not covered",Wording_Ranks!J129="Child-only"),$C$12,INDEX($C$7:$C$11,Wording_Ranks!I129))</f>
        <v>0.2</v>
      </c>
      <c r="F145" s="52" t="n">
        <f aca="false">IF(OR(Wording_Ranks!M129="Not covered",Wording_Ranks!M129="Child-only"),$C$12,INDEX($C$7:$C$11,Wording_Ranks!L129))</f>
        <v>0.6</v>
      </c>
      <c r="G145" s="52" t="n">
        <f aca="false">IF(OR(Wording_Ranks!O129="Not covered",Wording_Ranks!O129="Child-only"),$C$12,INDEX($C$7:$C$11,Wording_Ranks!N129))</f>
        <v>1</v>
      </c>
    </row>
    <row r="146" customFormat="false" ht="15" hidden="false" customHeight="true" outlineLevel="0" collapsed="false">
      <c r="A146" s="40" t="n">
        <f aca="false">Wording_Ranks!A130</f>
        <v>129</v>
      </c>
      <c r="B146" s="27" t="str">
        <f aca="false">Wording_Ranks!B130</f>
        <v>Significant Visual Impairment – Permanent and Irreversible</v>
      </c>
      <c r="C146" s="52" t="n">
        <f aca="false">IF(OR(Wording_Ranks!F130="Not covered",Wording_Ranks!F130="Child-only"),$C$12,INDEX($C$7:$C$11,Wording_Ranks!E130))</f>
        <v>0.4</v>
      </c>
      <c r="D146" s="52" t="n">
        <f aca="false">IF(OR(Wording_Ranks!H130="Not covered",Wording_Ranks!H130="Child-only"),$C$12,INDEX($C$7:$C$11,Wording_Ranks!G130))</f>
        <v>1</v>
      </c>
      <c r="E146" s="52" t="n">
        <f aca="false">IF(OR(Wording_Ranks!J130="Not covered",Wording_Ranks!J130="Child-only"),$C$12,INDEX($C$7:$C$11,Wording_Ranks!I130))</f>
        <v>0.2</v>
      </c>
      <c r="F146" s="52" t="n">
        <f aca="false">IF(OR(Wording_Ranks!M130="Not covered",Wording_Ranks!M130="Child-only"),$C$12,INDEX($C$7:$C$11,Wording_Ranks!L130))</f>
        <v>0.6</v>
      </c>
      <c r="G146" s="52" t="n">
        <f aca="false">IF(OR(Wording_Ranks!O130="Not covered",Wording_Ranks!O130="Child-only"),$C$12,INDEX($C$7:$C$11,Wording_Ranks!N130))</f>
        <v>0.8</v>
      </c>
    </row>
    <row r="147" customFormat="false" ht="15" hidden="false" customHeight="true" outlineLevel="0" collapsed="false">
      <c r="A147" s="40" t="n">
        <f aca="false">Wording_Ranks!A131</f>
        <v>130</v>
      </c>
      <c r="B147" s="27" t="str">
        <f aca="false">Wording_Ranks!B131</f>
        <v>Surgical Removal of One Eye</v>
      </c>
      <c r="C147" s="52" t="n">
        <f aca="false">IF(OR(Wording_Ranks!F131="Not covered",Wording_Ranks!F131="Child-only"),$C$12,INDEX($C$7:$C$11,Wording_Ranks!E131))</f>
        <v>0.4</v>
      </c>
      <c r="D147" s="52" t="n">
        <f aca="false">IF(OR(Wording_Ranks!H131="Not covered",Wording_Ranks!H131="Child-only"),$C$12,INDEX($C$7:$C$11,Wording_Ranks!G131))</f>
        <v>1</v>
      </c>
      <c r="E147" s="52" t="n">
        <f aca="false">IF(OR(Wording_Ranks!J131="Not covered",Wording_Ranks!J131="Child-only"),$C$12,INDEX($C$7:$C$11,Wording_Ranks!I131))</f>
        <v>0.2</v>
      </c>
      <c r="F147" s="52" t="n">
        <f aca="false">IF(OR(Wording_Ranks!M131="Not covered",Wording_Ranks!M131="Child-only"),$C$12,INDEX($C$7:$C$11,Wording_Ranks!L131))</f>
        <v>0.6</v>
      </c>
      <c r="G147" s="52" t="n">
        <f aca="false">IF(OR(Wording_Ranks!O131="Not covered",Wording_Ranks!O131="Child-only"),$C$12,INDEX($C$7:$C$11,Wording_Ranks!N131))</f>
        <v>0.8</v>
      </c>
    </row>
    <row r="148" customFormat="false" ht="15" hidden="false" customHeight="true" outlineLevel="0" collapsed="false">
      <c r="A148" s="40" t="n">
        <f aca="false">Wording_Ranks!A132</f>
        <v>131</v>
      </c>
      <c r="B148" s="27" t="str">
        <f aca="false">Wording_Ranks!B132</f>
        <v>Loss of Speech – Permanent and Irreversible</v>
      </c>
      <c r="C148" s="52" t="n">
        <f aca="false">IF(OR(Wording_Ranks!F132="Not covered",Wording_Ranks!F132="Child-only"),$C$12,INDEX($C$7:$C$11,Wording_Ranks!E132))</f>
        <v>0.4</v>
      </c>
      <c r="D148" s="52" t="n">
        <f aca="false">IF(OR(Wording_Ranks!H132="Not covered",Wording_Ranks!H132="Child-only"),$C$12,INDEX($C$7:$C$11,Wording_Ranks!G132))</f>
        <v>0.8</v>
      </c>
      <c r="E148" s="52" t="n">
        <f aca="false">IF(OR(Wording_Ranks!J132="Not covered",Wording_Ranks!J132="Child-only"),$C$12,INDEX($C$7:$C$11,Wording_Ranks!I132))</f>
        <v>0.2</v>
      </c>
      <c r="F148" s="52" t="n">
        <f aca="false">IF(OR(Wording_Ranks!M132="Not covered",Wording_Ranks!M132="Child-only"),$C$12,INDEX($C$7:$C$11,Wording_Ranks!L132))</f>
        <v>0.6</v>
      </c>
      <c r="G148" s="52" t="n">
        <f aca="false">IF(OR(Wording_Ranks!O132="Not covered",Wording_Ranks!O132="Child-only"),$C$12,INDEX($C$7:$C$11,Wording_Ranks!N132))</f>
        <v>1</v>
      </c>
    </row>
    <row r="149" customFormat="false" ht="15" hidden="false" customHeight="true" outlineLevel="0" collapsed="false">
      <c r="A149" s="40" t="n">
        <f aca="false">Wording_Ranks!A133</f>
        <v>132</v>
      </c>
      <c r="B149" s="27" t="str">
        <f aca="false">Wording_Ranks!B133</f>
        <v>Donor Recipient Cover</v>
      </c>
      <c r="C149" s="52" t="n">
        <f aca="false">IF(OR(Wording_Ranks!F133="Not covered",Wording_Ranks!F133="Child-only"),$C$12,INDEX($C$7:$C$11,Wording_Ranks!E133))</f>
        <v>0</v>
      </c>
      <c r="D149" s="52" t="n">
        <f aca="false">IF(OR(Wording_Ranks!H133="Not covered",Wording_Ranks!H133="Child-only"),$C$12,INDEX($C$7:$C$11,Wording_Ranks!G133))</f>
        <v>0</v>
      </c>
      <c r="E149" s="52" t="n">
        <f aca="false">IF(OR(Wording_Ranks!J133="Not covered",Wording_Ranks!J133="Child-only"),$C$12,INDEX($C$7:$C$11,Wording_Ranks!I133))</f>
        <v>0</v>
      </c>
      <c r="F149" s="52" t="n">
        <f aca="false">IF(OR(Wording_Ranks!M133="Not covered",Wording_Ranks!M133="Child-only"),$C$12,INDEX($C$7:$C$11,Wording_Ranks!L133))</f>
        <v>1</v>
      </c>
      <c r="G149" s="52" t="n">
        <f aca="false">IF(OR(Wording_Ranks!O133="Not covered",Wording_Ranks!O133="Child-only"),$C$12,INDEX($C$7:$C$11,Wording_Ranks!N133))</f>
        <v>0</v>
      </c>
    </row>
    <row r="150" customFormat="false" ht="15" hidden="false" customHeight="true" outlineLevel="0" collapsed="false">
      <c r="A150" s="40" t="n">
        <f aca="false">Wording_Ranks!A134</f>
        <v>133</v>
      </c>
      <c r="B150" s="27" t="str">
        <f aca="false">Wording_Ranks!B134</f>
        <v>Major Organ Transplant</v>
      </c>
      <c r="C150" s="52" t="n">
        <f aca="false">IF(OR(Wording_Ranks!F134="Not covered",Wording_Ranks!F134="Child-only"),$C$12,INDEX($C$7:$C$11,Wording_Ranks!E134))</f>
        <v>0.4</v>
      </c>
      <c r="D150" s="52" t="n">
        <f aca="false">IF(OR(Wording_Ranks!H134="Not covered",Wording_Ranks!H134="Child-only"),$C$12,INDEX($C$7:$C$11,Wording_Ranks!G134))</f>
        <v>0.8</v>
      </c>
      <c r="E150" s="52" t="n">
        <f aca="false">IF(OR(Wording_Ranks!J134="Not covered",Wording_Ranks!J134="Child-only"),$C$12,INDEX($C$7:$C$11,Wording_Ranks!I134))</f>
        <v>0.2</v>
      </c>
      <c r="F150" s="52" t="n">
        <f aca="false">IF(OR(Wording_Ranks!M134="Not covered",Wording_Ranks!M134="Child-only"),$C$12,INDEX($C$7:$C$11,Wording_Ranks!L134))</f>
        <v>0.6</v>
      </c>
      <c r="G150" s="52" t="n">
        <f aca="false">IF(OR(Wording_Ranks!O134="Not covered",Wording_Ranks!O134="Child-only"),$C$12,INDEX($C$7:$C$11,Wording_Ranks!N134))</f>
        <v>1</v>
      </c>
    </row>
    <row r="151" customFormat="false" ht="15" hidden="false" customHeight="true" outlineLevel="0" collapsed="false">
      <c r="A151" s="40" t="n">
        <f aca="false">Wording_Ranks!A135</f>
        <v>134</v>
      </c>
      <c r="B151" s="27" t="str">
        <f aca="false">Wording_Ranks!B135</f>
        <v>Third-Degree Burns – Major (&gt;=20% body / 50% face)</v>
      </c>
      <c r="C151" s="52" t="n">
        <f aca="false">IF(OR(Wording_Ranks!F135="Not covered",Wording_Ranks!F135="Child-only"),$C$12,INDEX($C$7:$C$11,Wording_Ranks!E135))</f>
        <v>1</v>
      </c>
      <c r="D151" s="52" t="n">
        <f aca="false">IF(OR(Wording_Ranks!H135="Not covered",Wording_Ranks!H135="Child-only"),$C$12,INDEX($C$7:$C$11,Wording_Ranks!G135))</f>
        <v>0.8</v>
      </c>
      <c r="E151" s="52" t="n">
        <f aca="false">IF(OR(Wording_Ranks!J135="Not covered",Wording_Ranks!J135="Child-only"),$C$12,INDEX($C$7:$C$11,Wording_Ranks!I135))</f>
        <v>0.2</v>
      </c>
      <c r="F151" s="52" t="n">
        <f aca="false">IF(OR(Wording_Ranks!M135="Not covered",Wording_Ranks!M135="Child-only"),$C$12,INDEX($C$7:$C$11,Wording_Ranks!L135))</f>
        <v>0.6</v>
      </c>
      <c r="G151" s="52" t="n">
        <f aca="false">IF(OR(Wording_Ranks!O135="Not covered",Wording_Ranks!O135="Child-only"),$C$12,INDEX($C$7:$C$11,Wording_Ranks!N135))</f>
        <v>0.4</v>
      </c>
    </row>
    <row r="152" customFormat="false" ht="15" hidden="false" customHeight="true" outlineLevel="0" collapsed="false">
      <c r="A152" s="40" t="n">
        <f aca="false">Wording_Ranks!A136</f>
        <v>135</v>
      </c>
      <c r="B152" s="27" t="str">
        <f aca="false">Wording_Ranks!B136</f>
        <v>Cystectomy – Complete Removal of the Urinary Bladder</v>
      </c>
      <c r="C152" s="52" t="n">
        <f aca="false">IF(OR(Wording_Ranks!F136="Not covered",Wording_Ranks!F136="Child-only"),$C$12,INDEX($C$7:$C$11,Wording_Ranks!E136))</f>
        <v>0.6</v>
      </c>
      <c r="D152" s="52" t="n">
        <f aca="false">IF(OR(Wording_Ranks!H136="Not covered",Wording_Ranks!H136="Child-only"),$C$12,INDEX($C$7:$C$11,Wording_Ranks!G136))</f>
        <v>0.4</v>
      </c>
      <c r="E152" s="52" t="n">
        <f aca="false">IF(OR(Wording_Ranks!J136="Not covered",Wording_Ranks!J136="Child-only"),$C$12,INDEX($C$7:$C$11,Wording_Ranks!I136))</f>
        <v>0.2</v>
      </c>
      <c r="F152" s="52" t="n">
        <f aca="false">IF(OR(Wording_Ranks!M136="Not covered",Wording_Ranks!M136="Child-only"),$C$12,INDEX($C$7:$C$11,Wording_Ranks!L136))</f>
        <v>0.8</v>
      </c>
      <c r="G152" s="52" t="n">
        <f aca="false">IF(OR(Wording_Ranks!O136="Not covered",Wording_Ranks!O136="Child-only"),$C$12,INDEX($C$7:$C$11,Wording_Ranks!N136))</f>
        <v>1</v>
      </c>
    </row>
    <row r="155" customFormat="false" ht="15" hidden="false" customHeight="true" outlineLevel="0" collapsed="false">
      <c r="B155" s="29" t="s">
        <v>287</v>
      </c>
    </row>
    <row r="156" customFormat="false" ht="34.5" hidden="false" customHeight="true" outlineLevel="0" collapsed="false">
      <c r="B156" s="51" t="s">
        <v>259</v>
      </c>
      <c r="C156" s="51" t="s">
        <v>288</v>
      </c>
      <c r="D156" s="51" t="s">
        <v>289</v>
      </c>
      <c r="E156" s="51" t="s">
        <v>290</v>
      </c>
      <c r="F156" s="51" t="s">
        <v>291</v>
      </c>
      <c r="G156" s="51" t="s">
        <v>292</v>
      </c>
      <c r="H156" s="51" t="s">
        <v>9</v>
      </c>
    </row>
    <row r="157" customFormat="false" ht="15" hidden="false" customHeight="true" outlineLevel="0" collapsed="false">
      <c r="B157" s="27" t="s">
        <v>264</v>
      </c>
      <c r="C157" s="40" t="n">
        <f aca="false">COUNTIF(C18:C152,"&gt;0")</f>
        <v>91</v>
      </c>
      <c r="D157" s="52" t="n">
        <f aca="false">AVERAGE(C18:C152)</f>
        <v>0.494814814814815</v>
      </c>
      <c r="E157" s="52" t="n">
        <f aca="false">AVERAGEIF(C18:C152,"&gt;0")</f>
        <v>0.734065934065934</v>
      </c>
      <c r="F157" s="40" t="n">
        <f aca="false">Coverage_Summary!C6+Coverage_Summary!D6+Coverage_Summary!E6+Coverage_Summary!F6</f>
        <v>91</v>
      </c>
      <c r="G157" s="40" t="n">
        <f aca="false">C157-F157</f>
        <v>0</v>
      </c>
      <c r="H157" s="40" t="str">
        <f aca="false">IF(G157=0,"OK","FLAG")</f>
        <v>OK</v>
      </c>
    </row>
    <row r="158" customFormat="false" ht="15" hidden="false" customHeight="true" outlineLevel="0" collapsed="false">
      <c r="B158" s="27" t="s">
        <v>265</v>
      </c>
      <c r="C158" s="40" t="n">
        <f aca="false">COUNTIF(D18:D152,"&gt;0")</f>
        <v>98</v>
      </c>
      <c r="D158" s="52" t="n">
        <f aca="false">AVERAGE(D18:D152)</f>
        <v>0.551111111111111</v>
      </c>
      <c r="E158" s="52" t="n">
        <f aca="false">AVERAGEIF(D18:D152,"&gt;0")</f>
        <v>0.759183673469388</v>
      </c>
      <c r="F158" s="40" t="n">
        <f aca="false">Coverage_Summary!C7+Coverage_Summary!D7+Coverage_Summary!E7+Coverage_Summary!F7</f>
        <v>98</v>
      </c>
      <c r="G158" s="40" t="n">
        <f aca="false">C158-F158</f>
        <v>0</v>
      </c>
      <c r="H158" s="40" t="str">
        <f aca="false">IF(G158=0,"OK","FLAG")</f>
        <v>OK</v>
      </c>
    </row>
    <row r="159" customFormat="false" ht="15" hidden="false" customHeight="true" outlineLevel="0" collapsed="false">
      <c r="B159" s="27" t="s">
        <v>266</v>
      </c>
      <c r="C159" s="40" t="n">
        <f aca="false">COUNTIF(E18:E152,"&gt;0")</f>
        <v>90</v>
      </c>
      <c r="D159" s="52" t="n">
        <f aca="false">AVERAGE(E18:E152)</f>
        <v>0.180740740740741</v>
      </c>
      <c r="E159" s="52" t="n">
        <f aca="false">AVERAGEIF(E18:E152,"&gt;0")</f>
        <v>0.271111111111111</v>
      </c>
      <c r="F159" s="40" t="n">
        <f aca="false">Coverage_Summary!C8+Coverage_Summary!D8+Coverage_Summary!E8+Coverage_Summary!F8</f>
        <v>90</v>
      </c>
      <c r="G159" s="40" t="n">
        <f aca="false">C159-F159</f>
        <v>0</v>
      </c>
      <c r="H159" s="40" t="str">
        <f aca="false">IF(G159=0,"OK","FLAG")</f>
        <v>OK</v>
      </c>
    </row>
    <row r="160" customFormat="false" ht="15" hidden="false" customHeight="true" outlineLevel="0" collapsed="false">
      <c r="B160" s="27" t="s">
        <v>267</v>
      </c>
      <c r="C160" s="40" t="n">
        <f aca="false">COUNTIF(F18:F152,"&gt;0")</f>
        <v>109</v>
      </c>
      <c r="D160" s="52" t="n">
        <f aca="false">AVERAGE(F18:F152)</f>
        <v>0.611851851851852</v>
      </c>
      <c r="E160" s="52" t="n">
        <f aca="false">AVERAGEIF(F18:F152,"&gt;0")</f>
        <v>0.757798165137615</v>
      </c>
      <c r="F160" s="40" t="n">
        <f aca="false">Coverage_Summary!C9+Coverage_Summary!D9+Coverage_Summary!E9+Coverage_Summary!F9</f>
        <v>109</v>
      </c>
      <c r="G160" s="40" t="n">
        <f aca="false">C160-F160</f>
        <v>0</v>
      </c>
      <c r="H160" s="40" t="str">
        <f aca="false">IF(G160=0,"OK","FLAG")</f>
        <v>OK</v>
      </c>
    </row>
    <row r="161" customFormat="false" ht="15" hidden="false" customHeight="true" outlineLevel="0" collapsed="false">
      <c r="B161" s="27" t="s">
        <v>268</v>
      </c>
      <c r="C161" s="40" t="n">
        <f aca="false">COUNTIF(G18:G152,"&gt;0")</f>
        <v>75</v>
      </c>
      <c r="D161" s="52" t="n">
        <f aca="false">AVERAGE(G18:G152)</f>
        <v>0.447407407407407</v>
      </c>
      <c r="E161" s="52" t="n">
        <f aca="false">AVERAGEIF(G18:G152,"&gt;0")</f>
        <v>0.805333333333333</v>
      </c>
      <c r="F161" s="40" t="n">
        <f aca="false">Coverage_Summary!C10+Coverage_Summary!D10+Coverage_Summary!E10+Coverage_Summary!F10</f>
        <v>75</v>
      </c>
      <c r="G161" s="40" t="n">
        <f aca="false">C161-F161</f>
        <v>0</v>
      </c>
      <c r="H161" s="40" t="str">
        <f aca="false">IF(G161=0,"OK","FLAG")</f>
        <v>OK</v>
      </c>
    </row>
    <row r="162" customFormat="false" ht="15" hidden="false" customHeight="true" outlineLevel="0" collapsed="false">
      <c r="B162" s="18" t="s">
        <v>293</v>
      </c>
      <c r="H162" s="49" t="str">
        <f aca="false">IF(COUNTIF(H157:H161,"OK")=5,"WORDING_SCORES CONSISTENT","CHECK")</f>
        <v>WORDING_SCORES CONSISTENT</v>
      </c>
    </row>
    <row r="164" customFormat="false" ht="15" hidden="false" customHeight="true" outlineLevel="0" collapsed="false">
      <c r="B164" s="26" t="s">
        <v>294</v>
      </c>
    </row>
    <row r="165" customFormat="false" ht="15" hidden="false" customHeight="true" outlineLevel="0" collapsed="false">
      <c r="B165" s="26" t="s">
        <v>295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12"/>
    <col collapsed="false" customWidth="true" hidden="false" outlineLevel="0" max="6" min="4" style="1" width="11"/>
    <col collapsed="false" customWidth="true" hidden="false" outlineLevel="0" max="7" min="7" style="1" width="18"/>
    <col collapsed="false" customWidth="true" hidden="false" outlineLevel="0" max="8" min="8" style="1" width="13"/>
    <col collapsed="false" customWidth="true" hidden="false" outlineLevel="0" max="9" min="9" style="1" width="12"/>
  </cols>
  <sheetData>
    <row r="2" customFormat="false" ht="18" hidden="false" customHeight="true" outlineLevel="0" collapsed="false">
      <c r="B2" s="16" t="s">
        <v>296</v>
      </c>
    </row>
    <row r="3" customFormat="false" ht="15" hidden="false" customHeight="true" outlineLevel="0" collapsed="false">
      <c r="B3" s="26" t="s">
        <v>297</v>
      </c>
    </row>
    <row r="5" customFormat="false" ht="15" hidden="false" customHeight="true" outlineLevel="0" collapsed="false">
      <c r="B5" s="18" t="s">
        <v>298</v>
      </c>
      <c r="C5" s="28" t="s">
        <v>299</v>
      </c>
    </row>
    <row r="6" customFormat="false" ht="15" hidden="false" customHeight="true" outlineLevel="0" collapsed="false">
      <c r="B6" s="18" t="s">
        <v>300</v>
      </c>
      <c r="C6" s="27" t="s">
        <v>301</v>
      </c>
    </row>
    <row r="8" customFormat="false" ht="15" hidden="false" customHeight="true" outlineLevel="0" collapsed="false">
      <c r="B8" s="53" t="s">
        <v>302</v>
      </c>
    </row>
    <row r="9" customFormat="false" ht="15" hidden="false" customHeight="true" outlineLevel="0" collapsed="false">
      <c r="B9" s="26" t="s">
        <v>303</v>
      </c>
    </row>
    <row r="11" customFormat="false" ht="15" hidden="false" customHeight="true" outlineLevel="0" collapsed="false">
      <c r="B11" s="29" t="s">
        <v>304</v>
      </c>
    </row>
    <row r="12" customFormat="false" ht="15" hidden="false" customHeight="true" outlineLevel="0" collapsed="false">
      <c r="B12" s="26" t="s">
        <v>305</v>
      </c>
    </row>
    <row r="13" customFormat="false" ht="23.25" hidden="false" customHeight="true" outlineLevel="0" collapsed="false">
      <c r="B13" s="51" t="s">
        <v>306</v>
      </c>
      <c r="C13" s="51" t="s">
        <v>307</v>
      </c>
      <c r="D13" s="51" t="s">
        <v>308</v>
      </c>
      <c r="E13" s="51" t="s">
        <v>309</v>
      </c>
      <c r="F13" s="51" t="s">
        <v>310</v>
      </c>
      <c r="G13" s="51" t="s">
        <v>311</v>
      </c>
      <c r="H13" s="51" t="s">
        <v>312</v>
      </c>
      <c r="I13" s="51" t="s">
        <v>313</v>
      </c>
    </row>
    <row r="14" customFormat="false" ht="15" hidden="false" customHeight="true" outlineLevel="0" collapsed="false">
      <c r="B14" s="27" t="s">
        <v>314</v>
      </c>
      <c r="C14" s="36" t="s">
        <v>315</v>
      </c>
      <c r="E14" s="32" t="n">
        <v>3422</v>
      </c>
      <c r="F14" s="42" t="n">
        <f aca="false">N(D14)+N(E14)</f>
        <v>3422</v>
      </c>
      <c r="G14" s="36" t="s">
        <v>316</v>
      </c>
      <c r="H14" s="32" t="n">
        <v>3688</v>
      </c>
      <c r="I14" s="46" t="n">
        <f aca="false">(H14-F14)/F14</f>
        <v>0.0777323202805377</v>
      </c>
    </row>
    <row r="15" customFormat="false" ht="15" hidden="false" customHeight="true" outlineLevel="0" collapsed="false">
      <c r="B15" s="27" t="s">
        <v>317</v>
      </c>
      <c r="C15" s="36" t="s">
        <v>318</v>
      </c>
      <c r="E15" s="32" t="n">
        <v>250</v>
      </c>
      <c r="F15" s="42" t="n">
        <f aca="false">N(D15)+N(E15)</f>
        <v>250</v>
      </c>
      <c r="G15" s="36" t="s">
        <v>319</v>
      </c>
      <c r="H15" s="32" t="n">
        <v>242</v>
      </c>
      <c r="I15" s="46" t="n">
        <f aca="false">(H15-F15)/F15</f>
        <v>-0.032</v>
      </c>
    </row>
    <row r="16" customFormat="false" ht="15" hidden="false" customHeight="true" outlineLevel="0" collapsed="false">
      <c r="B16" s="27" t="s">
        <v>320</v>
      </c>
      <c r="C16" s="36" t="s">
        <v>321</v>
      </c>
      <c r="E16" s="32" t="n">
        <v>387</v>
      </c>
      <c r="F16" s="42" t="n">
        <f aca="false">N(D16)+N(E16)</f>
        <v>387</v>
      </c>
      <c r="G16" s="36" t="s">
        <v>322</v>
      </c>
      <c r="H16" s="32" t="n">
        <v>444</v>
      </c>
      <c r="I16" s="46" t="n">
        <f aca="false">(H16-F16)/F16</f>
        <v>0.147286821705426</v>
      </c>
    </row>
    <row r="17" customFormat="false" ht="15" hidden="false" customHeight="true" outlineLevel="0" collapsed="false">
      <c r="B17" s="27" t="s">
        <v>323</v>
      </c>
      <c r="C17" s="36" t="s">
        <v>324</v>
      </c>
      <c r="E17" s="32" t="n">
        <v>556</v>
      </c>
      <c r="F17" s="42" t="n">
        <f aca="false">N(D17)+N(E17)</f>
        <v>556</v>
      </c>
      <c r="G17" s="36" t="s">
        <v>325</v>
      </c>
      <c r="H17" s="32" t="n">
        <v>700</v>
      </c>
      <c r="I17" s="46" t="n">
        <f aca="false">(H17-F17)/F17</f>
        <v>0.258992805755396</v>
      </c>
    </row>
    <row r="18" customFormat="false" ht="15" hidden="false" customHeight="true" outlineLevel="0" collapsed="false">
      <c r="B18" s="27" t="s">
        <v>326</v>
      </c>
      <c r="C18" s="36" t="s">
        <v>327</v>
      </c>
      <c r="D18" s="32" t="n">
        <v>3980</v>
      </c>
      <c r="F18" s="42" t="n">
        <f aca="false">N(D18)+N(E18)</f>
        <v>3980</v>
      </c>
      <c r="G18" s="36" t="s">
        <v>328</v>
      </c>
      <c r="H18" s="32" t="n">
        <v>4216</v>
      </c>
      <c r="I18" s="46" t="n">
        <f aca="false">(H18-F18)/F18</f>
        <v>0.0592964824120603</v>
      </c>
    </row>
    <row r="19" customFormat="false" ht="15" hidden="false" customHeight="true" outlineLevel="0" collapsed="false">
      <c r="B19" s="27" t="s">
        <v>329</v>
      </c>
      <c r="C19" s="36" t="s">
        <v>330</v>
      </c>
      <c r="D19" s="32" t="n">
        <v>1466</v>
      </c>
      <c r="E19" s="32" t="n">
        <v>1093</v>
      </c>
      <c r="F19" s="42" t="n">
        <f aca="false">N(D19)+N(E19)</f>
        <v>2559</v>
      </c>
      <c r="G19" s="36" t="s">
        <v>331</v>
      </c>
      <c r="H19" s="32" t="n">
        <v>3121</v>
      </c>
      <c r="I19" s="46" t="n">
        <f aca="false">(H19-F19)/F19</f>
        <v>0.219617037905432</v>
      </c>
    </row>
    <row r="20" customFormat="false" ht="15" hidden="false" customHeight="true" outlineLevel="0" collapsed="false">
      <c r="B20" s="27" t="s">
        <v>332</v>
      </c>
      <c r="C20" s="36" t="s">
        <v>333</v>
      </c>
      <c r="D20" s="32" t="n">
        <v>1386</v>
      </c>
      <c r="E20" s="32" t="n">
        <v>1199</v>
      </c>
      <c r="F20" s="42" t="n">
        <f aca="false">N(D20)+N(E20)</f>
        <v>2585</v>
      </c>
      <c r="G20" s="36" t="s">
        <v>334</v>
      </c>
      <c r="H20" s="32" t="n">
        <v>3086</v>
      </c>
      <c r="I20" s="46" t="n">
        <f aca="false">(H20-F20)/F20</f>
        <v>0.193810444874275</v>
      </c>
    </row>
    <row r="21" customFormat="false" ht="15" hidden="false" customHeight="true" outlineLevel="0" collapsed="false">
      <c r="B21" s="18" t="s">
        <v>335</v>
      </c>
      <c r="F21" s="35" t="n">
        <f aca="false">SUM(F14:F20)</f>
        <v>13739</v>
      </c>
    </row>
    <row r="22" customFormat="false" ht="15" hidden="false" customHeight="true" outlineLevel="0" collapsed="false">
      <c r="B22" s="27" t="s">
        <v>336</v>
      </c>
      <c r="D22" s="32" t="n">
        <v>13075</v>
      </c>
      <c r="E22" s="32" t="n">
        <v>11349</v>
      </c>
      <c r="F22" s="35" t="n">
        <f aca="false">N(D22)+N(E22)</f>
        <v>24424</v>
      </c>
      <c r="G22" s="36" t="s">
        <v>337</v>
      </c>
      <c r="H22" s="32" t="n">
        <v>26884</v>
      </c>
      <c r="I22" s="46" t="n">
        <f aca="false">(H22-F22)/F22</f>
        <v>0.100720602685883</v>
      </c>
    </row>
    <row r="23" customFormat="false" ht="15" hidden="false" customHeight="true" outlineLevel="0" collapsed="false">
      <c r="B23" s="27" t="s">
        <v>338</v>
      </c>
      <c r="F23" s="35" t="n">
        <f aca="false">F22-F21</f>
        <v>10685</v>
      </c>
      <c r="G23" s="26" t="s">
        <v>339</v>
      </c>
    </row>
    <row r="24" customFormat="false" ht="15" hidden="false" customHeight="true" outlineLevel="0" collapsed="false">
      <c r="B24" s="26" t="s">
        <v>340</v>
      </c>
    </row>
    <row r="26" customFormat="false" ht="15" hidden="false" customHeight="true" outlineLevel="0" collapsed="false">
      <c r="B26" s="29" t="s">
        <v>341</v>
      </c>
    </row>
    <row r="27" customFormat="false" ht="15" hidden="false" customHeight="true" outlineLevel="0" collapsed="false">
      <c r="B27" s="51" t="s">
        <v>342</v>
      </c>
      <c r="C27" s="51" t="s">
        <v>343</v>
      </c>
      <c r="G27" s="51" t="s">
        <v>344</v>
      </c>
    </row>
    <row r="28" customFormat="false" ht="15" hidden="false" customHeight="true" outlineLevel="0" collapsed="false">
      <c r="B28" s="27" t="s">
        <v>345</v>
      </c>
      <c r="C28" s="54" t="s">
        <v>346</v>
      </c>
      <c r="G28" s="26" t="s">
        <v>347</v>
      </c>
    </row>
    <row r="29" customFormat="false" ht="15" hidden="false" customHeight="true" outlineLevel="0" collapsed="false">
      <c r="B29" s="27" t="s">
        <v>348</v>
      </c>
      <c r="C29" s="54" t="s">
        <v>349</v>
      </c>
      <c r="G29" s="26" t="s">
        <v>350</v>
      </c>
    </row>
    <row r="30" customFormat="false" ht="15" hidden="false" customHeight="true" outlineLevel="0" collapsed="false">
      <c r="B30" s="27" t="s">
        <v>351</v>
      </c>
      <c r="C30" s="54" t="s">
        <v>352</v>
      </c>
      <c r="G30" s="26" t="s">
        <v>353</v>
      </c>
    </row>
    <row r="31" customFormat="false" ht="15" hidden="false" customHeight="true" outlineLevel="0" collapsed="false">
      <c r="B31" s="27" t="s">
        <v>354</v>
      </c>
      <c r="C31" s="54" t="s">
        <v>355</v>
      </c>
      <c r="G31" s="26" t="s">
        <v>356</v>
      </c>
    </row>
    <row r="32" customFormat="false" ht="15" hidden="false" customHeight="true" outlineLevel="0" collapsed="false">
      <c r="B32" s="27" t="s">
        <v>357</v>
      </c>
      <c r="C32" s="54" t="s">
        <v>358</v>
      </c>
      <c r="G32" s="26" t="s">
        <v>356</v>
      </c>
    </row>
    <row r="33" customFormat="false" ht="15" hidden="false" customHeight="true" outlineLevel="0" collapsed="false">
      <c r="B33" s="27" t="s">
        <v>359</v>
      </c>
      <c r="C33" s="54" t="s">
        <v>360</v>
      </c>
      <c r="G33" s="26" t="s">
        <v>361</v>
      </c>
    </row>
    <row r="34" customFormat="false" ht="15" hidden="false" customHeight="true" outlineLevel="0" collapsed="false">
      <c r="B34" s="26" t="s">
        <v>362</v>
      </c>
    </row>
    <row r="36" customFormat="false" ht="15" hidden="false" customHeight="true" outlineLevel="0" collapsed="false">
      <c r="B36" s="29" t="s">
        <v>363</v>
      </c>
    </row>
    <row r="37" customFormat="false" ht="15" hidden="false" customHeight="true" outlineLevel="0" collapsed="false">
      <c r="B37" s="51" t="s">
        <v>342</v>
      </c>
      <c r="C37" s="51" t="s">
        <v>343</v>
      </c>
      <c r="G37" s="51" t="s">
        <v>344</v>
      </c>
    </row>
    <row r="38" customFormat="false" ht="15" hidden="false" customHeight="true" outlineLevel="0" collapsed="false">
      <c r="B38" s="27" t="s">
        <v>364</v>
      </c>
      <c r="C38" s="54" t="s">
        <v>365</v>
      </c>
      <c r="G38" s="26" t="s">
        <v>366</v>
      </c>
    </row>
    <row r="39" customFormat="false" ht="15" hidden="false" customHeight="true" outlineLevel="0" collapsed="false">
      <c r="B39" s="27" t="s">
        <v>367</v>
      </c>
      <c r="C39" s="54" t="s">
        <v>368</v>
      </c>
      <c r="G39" s="26" t="s">
        <v>369</v>
      </c>
    </row>
    <row r="40" customFormat="false" ht="15" hidden="false" customHeight="true" outlineLevel="0" collapsed="false">
      <c r="B40" s="27" t="s">
        <v>370</v>
      </c>
      <c r="C40" s="54" t="s">
        <v>371</v>
      </c>
      <c r="G40" s="26" t="s">
        <v>372</v>
      </c>
    </row>
    <row r="41" customFormat="false" ht="15" hidden="false" customHeight="true" outlineLevel="0" collapsed="false">
      <c r="B41" s="27" t="s">
        <v>373</v>
      </c>
      <c r="C41" s="54" t="s">
        <v>374</v>
      </c>
      <c r="G41" s="26" t="s">
        <v>375</v>
      </c>
    </row>
    <row r="42" customFormat="false" ht="15" hidden="false" customHeight="true" outlineLevel="0" collapsed="false">
      <c r="B42" s="27" t="s">
        <v>376</v>
      </c>
      <c r="C42" s="54" t="s">
        <v>377</v>
      </c>
      <c r="G42" s="26" t="s">
        <v>378</v>
      </c>
    </row>
    <row r="43" customFormat="false" ht="15" hidden="false" customHeight="true" outlineLevel="0" collapsed="false">
      <c r="B43" s="27" t="s">
        <v>379</v>
      </c>
      <c r="C43" s="54" t="s">
        <v>380</v>
      </c>
      <c r="G43" s="26" t="s">
        <v>381</v>
      </c>
    </row>
    <row r="44" customFormat="false" ht="15" hidden="false" customHeight="true" outlineLevel="0" collapsed="false">
      <c r="B44" s="27" t="s">
        <v>382</v>
      </c>
      <c r="C44" s="54" t="s">
        <v>380</v>
      </c>
      <c r="G44" s="26" t="s">
        <v>383</v>
      </c>
    </row>
    <row r="46" customFormat="false" ht="15" hidden="false" customHeight="true" outlineLevel="0" collapsed="false">
      <c r="B46" s="53" t="s">
        <v>384</v>
      </c>
    </row>
    <row r="47" customFormat="false" ht="15" hidden="false" customHeight="true" outlineLevel="0" collapsed="false">
      <c r="B47" s="26" t="s">
        <v>385</v>
      </c>
    </row>
    <row r="48" customFormat="false" ht="15" hidden="false" customHeight="true" outlineLevel="0" collapsed="false">
      <c r="B48" s="26" t="s">
        <v>386</v>
      </c>
    </row>
    <row r="49" customFormat="false" ht="15" hidden="false" customHeight="true" outlineLevel="0" collapsed="false">
      <c r="B49" s="26" t="s">
        <v>387</v>
      </c>
    </row>
    <row r="50" customFormat="false" ht="15" hidden="false" customHeight="true" outlineLevel="0" collapsed="false">
      <c r="B50" s="26" t="s">
        <v>388</v>
      </c>
    </row>
    <row r="51" customFormat="false" ht="15" hidden="false" customHeight="true" outlineLevel="0" collapsed="false">
      <c r="B51" s="26" t="s">
        <v>389</v>
      </c>
    </row>
    <row r="52" customFormat="false" ht="15" hidden="false" customHeight="true" outlineLevel="0" collapsed="false">
      <c r="B52" s="26" t="s">
        <v>390</v>
      </c>
    </row>
    <row r="54" customFormat="false" ht="15" hidden="false" customHeight="true" outlineLevel="0" collapsed="false">
      <c r="B54" s="29" t="s">
        <v>391</v>
      </c>
    </row>
    <row r="55" customFormat="false" ht="15" hidden="false" customHeight="true" outlineLevel="0" collapsed="false">
      <c r="B55" s="26" t="s">
        <v>392</v>
      </c>
    </row>
    <row r="56" customFormat="false" ht="15" hidden="false" customHeight="true" outlineLevel="0" collapsed="false">
      <c r="B56" s="26" t="s">
        <v>393</v>
      </c>
    </row>
    <row r="57" customFormat="false" ht="15" hidden="false" customHeight="true" outlineLevel="0" collapsed="false">
      <c r="B57" s="26" t="s">
        <v>394</v>
      </c>
    </row>
    <row r="58" customFormat="false" ht="15" hidden="false" customHeight="true" outlineLevel="0" collapsed="false">
      <c r="B58" s="26" t="s">
        <v>395</v>
      </c>
    </row>
    <row r="59" customFormat="false" ht="15" hidden="false" customHeight="true" outlineLevel="0" collapsed="false">
      <c r="B59" s="26" t="s">
        <v>396</v>
      </c>
    </row>
    <row r="60" customFormat="false" ht="15" hidden="false" customHeight="true" outlineLevel="0" collapsed="false">
      <c r="B60" s="26" t="s">
        <v>397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1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40"/>
    <col collapsed="false" customWidth="true" hidden="false" outlineLevel="0" max="4" min="3" style="1" width="12"/>
    <col collapsed="false" customWidth="true" hidden="false" outlineLevel="0" max="6" min="5" style="1" width="13"/>
    <col collapsed="false" customWidth="true" hidden="false" outlineLevel="0" max="7" min="7" style="1" width="12"/>
    <col collapsed="false" customWidth="true" hidden="false" outlineLevel="0" max="8" min="8" style="1" width="10"/>
  </cols>
  <sheetData>
    <row r="2" customFormat="false" ht="18" hidden="false" customHeight="true" outlineLevel="0" collapsed="false">
      <c r="B2" s="16" t="s">
        <v>398</v>
      </c>
    </row>
    <row r="3" customFormat="false" ht="15" hidden="false" customHeight="true" outlineLevel="0" collapsed="false">
      <c r="B3" s="26" t="s">
        <v>399</v>
      </c>
    </row>
    <row r="5" customFormat="false" ht="15" hidden="false" customHeight="true" outlineLevel="0" collapsed="false">
      <c r="B5" s="18" t="s">
        <v>300</v>
      </c>
      <c r="C5" s="27" t="s">
        <v>400</v>
      </c>
    </row>
    <row r="7" customFormat="false" ht="15" hidden="false" customHeight="true" outlineLevel="0" collapsed="false">
      <c r="B7" s="29" t="s">
        <v>401</v>
      </c>
    </row>
    <row r="8" customFormat="false" ht="23.25" hidden="false" customHeight="true" outlineLevel="0" collapsed="false">
      <c r="B8" s="51" t="s">
        <v>402</v>
      </c>
      <c r="C8" s="51" t="s">
        <v>403</v>
      </c>
    </row>
    <row r="9" customFormat="false" ht="15" hidden="false" customHeight="true" outlineLevel="0" collapsed="false">
      <c r="B9" s="27" t="s">
        <v>89</v>
      </c>
      <c r="C9" s="50" t="n">
        <v>1</v>
      </c>
    </row>
    <row r="10" customFormat="false" ht="15" hidden="false" customHeight="true" outlineLevel="0" collapsed="false">
      <c r="B10" s="27" t="s">
        <v>86</v>
      </c>
      <c r="C10" s="55" t="n">
        <v>0.5</v>
      </c>
    </row>
    <row r="11" customFormat="false" ht="15" hidden="false" customHeight="true" outlineLevel="0" collapsed="false">
      <c r="B11" s="27" t="s">
        <v>260</v>
      </c>
      <c r="C11" s="50" t="n">
        <v>1</v>
      </c>
    </row>
    <row r="12" customFormat="false" ht="15" hidden="false" customHeight="true" outlineLevel="0" collapsed="false">
      <c r="B12" s="27" t="s">
        <v>70</v>
      </c>
      <c r="C12" s="55" t="n">
        <v>0.1</v>
      </c>
    </row>
    <row r="13" customFormat="false" ht="15" hidden="false" customHeight="true" outlineLevel="0" collapsed="false">
      <c r="B13" s="27" t="s">
        <v>128</v>
      </c>
      <c r="C13" s="50" t="n">
        <v>0</v>
      </c>
    </row>
    <row r="14" customFormat="false" ht="15" hidden="false" customHeight="true" outlineLevel="0" collapsed="false">
      <c r="B14" s="27" t="s">
        <v>72</v>
      </c>
      <c r="C14" s="50" t="n">
        <v>0</v>
      </c>
    </row>
    <row r="15" customFormat="false" ht="15" hidden="false" customHeight="true" outlineLevel="0" collapsed="false">
      <c r="B15" s="26" t="s">
        <v>404</v>
      </c>
    </row>
    <row r="16" customFormat="false" ht="15" hidden="false" customHeight="true" outlineLevel="0" collapsed="false">
      <c r="B16" s="26" t="s">
        <v>405</v>
      </c>
    </row>
    <row r="18" customFormat="false" ht="15" hidden="false" customHeight="true" outlineLevel="0" collapsed="false">
      <c r="B18" s="29" t="s">
        <v>406</v>
      </c>
    </row>
    <row r="19" customFormat="false" ht="15" hidden="false" customHeight="true" outlineLevel="0" collapsed="false">
      <c r="A19" s="51" t="s">
        <v>53</v>
      </c>
      <c r="B19" s="51" t="s">
        <v>54</v>
      </c>
      <c r="C19" s="51" t="s">
        <v>264</v>
      </c>
      <c r="D19" s="51" t="s">
        <v>265</v>
      </c>
      <c r="E19" s="51" t="s">
        <v>266</v>
      </c>
      <c r="F19" s="51" t="s">
        <v>267</v>
      </c>
      <c r="G19" s="51" t="s">
        <v>268</v>
      </c>
    </row>
    <row r="20" customFormat="false" ht="15" hidden="false" customHeight="true" outlineLevel="0" collapsed="false">
      <c r="A20" s="40" t="n">
        <f aca="false">Wording_Ranks!A2</f>
        <v>1</v>
      </c>
      <c r="B20" s="27" t="str">
        <f aca="false">Wording_Ranks!B2</f>
        <v>Hospital Cash Cover (Adult)</v>
      </c>
      <c r="C20" s="52" t="n">
        <f aca="false">IFERROR(INDEX($C$9:$C$14,MATCH(Wording_Ranks!F2,$B$9:$B$14,0)),0)</f>
        <v>0</v>
      </c>
      <c r="D20" s="52" t="n">
        <f aca="false">IFERROR(INDEX($C$9:$C$14,MATCH(Wording_Ranks!H2,$B$9:$B$14,0)),0)</f>
        <v>0.1</v>
      </c>
      <c r="E20" s="52" t="n">
        <f aca="false">IFERROR(INDEX($C$9:$C$14,MATCH(Wording_Ranks!J2,$B$9:$B$14,0)),0)</f>
        <v>0</v>
      </c>
      <c r="F20" s="52" t="n">
        <f aca="false">IFERROR(INDEX($C$9:$C$14,MATCH(Wording_Ranks!M2,$B$9:$B$14,0)),0)</f>
        <v>0</v>
      </c>
      <c r="G20" s="52" t="n">
        <f aca="false">IFERROR(INDEX($C$9:$C$14,MATCH(Wording_Ranks!O2,$B$9:$B$14,0)),0)</f>
        <v>0</v>
      </c>
    </row>
    <row r="21" customFormat="false" ht="15" hidden="false" customHeight="true" outlineLevel="0" collapsed="false">
      <c r="A21" s="40" t="n">
        <f aca="false">Wording_Ranks!A3</f>
        <v>2</v>
      </c>
      <c r="B21" s="27" t="str">
        <f aca="false">Wording_Ranks!B3</f>
        <v>Overseas Surgery Benefit</v>
      </c>
      <c r="C21" s="52" t="n">
        <f aca="false">IFERROR(INDEX($C$9:$C$14,MATCH(Wording_Ranks!F3,$B$9:$B$14,0)),0)</f>
        <v>0</v>
      </c>
      <c r="D21" s="52" t="n">
        <f aca="false">IFERROR(INDEX($C$9:$C$14,MATCH(Wording_Ranks!H3,$B$9:$B$14,0)),0)</f>
        <v>0</v>
      </c>
      <c r="E21" s="52" t="n">
        <f aca="false">IFERROR(INDEX($C$9:$C$14,MATCH(Wording_Ranks!J3,$B$9:$B$14,0)),0)</f>
        <v>0</v>
      </c>
      <c r="F21" s="52" t="n">
        <f aca="false">IFERROR(INDEX($C$9:$C$14,MATCH(Wording_Ranks!M3,$B$9:$B$14,0)),0)</f>
        <v>0</v>
      </c>
      <c r="G21" s="52" t="n">
        <f aca="false">IFERROR(INDEX($C$9:$C$14,MATCH(Wording_Ranks!O3,$B$9:$B$14,0)),0)</f>
        <v>0.1</v>
      </c>
    </row>
    <row r="22" customFormat="false" ht="15" hidden="false" customHeight="true" outlineLevel="0" collapsed="false">
      <c r="A22" s="40" t="n">
        <f aca="false">Wording_Ranks!A4</f>
        <v>3</v>
      </c>
      <c r="B22" s="27" t="str">
        <f aca="false">Wording_Ranks!B4</f>
        <v>Accidental Death Benefit (Interim)</v>
      </c>
      <c r="C22" s="52" t="n">
        <f aca="false">IFERROR(INDEX($C$9:$C$14,MATCH(Wording_Ranks!F4,$B$9:$B$14,0)),0)</f>
        <v>0</v>
      </c>
      <c r="D22" s="52" t="n">
        <f aca="false">IFERROR(INDEX($C$9:$C$14,MATCH(Wording_Ranks!H4,$B$9:$B$14,0)),0)</f>
        <v>0.1</v>
      </c>
      <c r="E22" s="52" t="n">
        <f aca="false">IFERROR(INDEX($C$9:$C$14,MATCH(Wording_Ranks!J4,$B$9:$B$14,0)),0)</f>
        <v>0</v>
      </c>
      <c r="F22" s="52" t="n">
        <f aca="false">IFERROR(INDEX($C$9:$C$14,MATCH(Wording_Ranks!M4,$B$9:$B$14,0)),0)</f>
        <v>0</v>
      </c>
      <c r="G22" s="52" t="n">
        <f aca="false">IFERROR(INDEX($C$9:$C$14,MATCH(Wording_Ranks!O4,$B$9:$B$14,0)),0)</f>
        <v>0</v>
      </c>
    </row>
    <row r="23" customFormat="false" ht="15" hidden="false" customHeight="true" outlineLevel="0" collapsed="false">
      <c r="A23" s="40" t="n">
        <f aca="false">Wording_Ranks!A5</f>
        <v>4</v>
      </c>
      <c r="B23" s="27" t="str">
        <f aca="false">Wording_Ranks!B5</f>
        <v>Terminal Illness Early Payment (Life Cover)</v>
      </c>
      <c r="C23" s="52" t="n">
        <f aca="false">IFERROR(INDEX($C$9:$C$14,MATCH(Wording_Ranks!F5,$B$9:$B$14,0)),0)</f>
        <v>0.1</v>
      </c>
      <c r="D23" s="52" t="n">
        <f aca="false">IFERROR(INDEX($C$9:$C$14,MATCH(Wording_Ranks!H5,$B$9:$B$14,0)),0)</f>
        <v>0.1</v>
      </c>
      <c r="E23" s="52" t="n">
        <f aca="false">IFERROR(INDEX($C$9:$C$14,MATCH(Wording_Ranks!J5,$B$9:$B$14,0)),0)</f>
        <v>0</v>
      </c>
      <c r="F23" s="52" t="n">
        <f aca="false">IFERROR(INDEX($C$9:$C$14,MATCH(Wording_Ranks!M5,$B$9:$B$14,0)),0)</f>
        <v>0.1</v>
      </c>
      <c r="G23" s="52" t="n">
        <f aca="false">IFERROR(INDEX($C$9:$C$14,MATCH(Wording_Ranks!O5,$B$9:$B$14,0)),0)</f>
        <v>0.1</v>
      </c>
    </row>
    <row r="24" customFormat="false" ht="15" hidden="false" customHeight="true" outlineLevel="0" collapsed="false">
      <c r="A24" s="40" t="n">
        <f aca="false">Wording_Ranks!A6</f>
        <v>5</v>
      </c>
      <c r="B24" s="27" t="str">
        <f aca="false">Wording_Ranks!B6</f>
        <v>Waiting List / Pre-Surgery Pre-Payment Benefit</v>
      </c>
      <c r="C24" s="52" t="n">
        <f aca="false">IFERROR(INDEX($C$9:$C$14,MATCH(Wording_Ranks!F6,$B$9:$B$14,0)),0)</f>
        <v>0</v>
      </c>
      <c r="D24" s="52" t="n">
        <f aca="false">IFERROR(INDEX($C$9:$C$14,MATCH(Wording_Ranks!H6,$B$9:$B$14,0)),0)</f>
        <v>0.1</v>
      </c>
      <c r="E24" s="52" t="n">
        <f aca="false">IFERROR(INDEX($C$9:$C$14,MATCH(Wording_Ranks!J6,$B$9:$B$14,0)),0)</f>
        <v>0.1</v>
      </c>
      <c r="F24" s="52" t="n">
        <f aca="false">IFERROR(INDEX($C$9:$C$14,MATCH(Wording_Ranks!M6,$B$9:$B$14,0)),0)</f>
        <v>0</v>
      </c>
      <c r="G24" s="52" t="n">
        <f aca="false">IFERROR(INDEX($C$9:$C$14,MATCH(Wording_Ranks!O6,$B$9:$B$14,0)),0)</f>
        <v>0.1</v>
      </c>
    </row>
    <row r="25" customFormat="false" ht="15" hidden="false" customHeight="true" outlineLevel="0" collapsed="false">
      <c r="A25" s="40" t="n">
        <f aca="false">Wording_Ranks!A7</f>
        <v>6</v>
      </c>
      <c r="B25" s="27" t="str">
        <f aca="false">Wording_Ranks!B7</f>
        <v>Accident Cash Cover – Qualifying Injuries</v>
      </c>
      <c r="C25" s="52" t="n">
        <f aca="false">IFERROR(INDEX($C$9:$C$14,MATCH(Wording_Ranks!F7,$B$9:$B$14,0)),0)</f>
        <v>0</v>
      </c>
      <c r="D25" s="52" t="n">
        <f aca="false">IFERROR(INDEX($C$9:$C$14,MATCH(Wording_Ranks!H7,$B$9:$B$14,0)),0)</f>
        <v>0.1</v>
      </c>
      <c r="E25" s="52" t="n">
        <f aca="false">IFERROR(INDEX($C$9:$C$14,MATCH(Wording_Ranks!J7,$B$9:$B$14,0)),0)</f>
        <v>0</v>
      </c>
      <c r="F25" s="52" t="n">
        <f aca="false">IFERROR(INDEX($C$9:$C$14,MATCH(Wording_Ranks!M7,$B$9:$B$14,0)),0)</f>
        <v>0</v>
      </c>
      <c r="G25" s="52" t="n">
        <f aca="false">IFERROR(INDEX($C$9:$C$14,MATCH(Wording_Ranks!O7,$B$9:$B$14,0)),0)</f>
        <v>0</v>
      </c>
    </row>
    <row r="26" customFormat="false" ht="15" hidden="false" customHeight="true" outlineLevel="0" collapsed="false">
      <c r="A26" s="40" t="n">
        <f aca="false">Wording_Ranks!A8</f>
        <v>7</v>
      </c>
      <c r="B26" s="27" t="str">
        <f aca="false">Wording_Ranks!B8</f>
        <v>Serious Accident Cover (28+ days hospital)</v>
      </c>
      <c r="C26" s="52" t="n">
        <f aca="false">IFERROR(INDEX($C$9:$C$14,MATCH(Wording_Ranks!F8,$B$9:$B$14,0)),0)</f>
        <v>0.5</v>
      </c>
      <c r="D26" s="52" t="n">
        <f aca="false">IFERROR(INDEX($C$9:$C$14,MATCH(Wording_Ranks!H8,$B$9:$B$14,0)),0)</f>
        <v>0.5</v>
      </c>
      <c r="E26" s="52" t="n">
        <f aca="false">IFERROR(INDEX($C$9:$C$14,MATCH(Wording_Ranks!J8,$B$9:$B$14,0)),0)</f>
        <v>0.5</v>
      </c>
      <c r="F26" s="52" t="n">
        <f aca="false">IFERROR(INDEX($C$9:$C$14,MATCH(Wording_Ranks!M8,$B$9:$B$14,0)),0)</f>
        <v>0.5</v>
      </c>
      <c r="G26" s="52" t="n">
        <f aca="false">IFERROR(INDEX($C$9:$C$14,MATCH(Wording_Ranks!O8,$B$9:$B$14,0)),0)</f>
        <v>0.5</v>
      </c>
    </row>
    <row r="27" customFormat="false" ht="15" hidden="false" customHeight="true" outlineLevel="0" collapsed="false">
      <c r="A27" s="40" t="n">
        <f aca="false">Wording_Ranks!A9</f>
        <v>8</v>
      </c>
      <c r="B27" s="27" t="str">
        <f aca="false">Wording_Ranks!B9</f>
        <v>Systemic Lupus Erythematosus (SLE) – with Severe Complications</v>
      </c>
      <c r="C27" s="52" t="n">
        <f aca="false">IFERROR(INDEX($C$9:$C$14,MATCH(Wording_Ranks!F9,$B$9:$B$14,0)),0)</f>
        <v>1</v>
      </c>
      <c r="D27" s="52" t="n">
        <f aca="false">IFERROR(INDEX($C$9:$C$14,MATCH(Wording_Ranks!H9,$B$9:$B$14,0)),0)</f>
        <v>1</v>
      </c>
      <c r="E27" s="52" t="n">
        <f aca="false">IFERROR(INDEX($C$9:$C$14,MATCH(Wording_Ranks!J9,$B$9:$B$14,0)),0)</f>
        <v>1</v>
      </c>
      <c r="F27" s="52" t="n">
        <f aca="false">IFERROR(INDEX($C$9:$C$14,MATCH(Wording_Ranks!M9,$B$9:$B$14,0)),0)</f>
        <v>1</v>
      </c>
      <c r="G27" s="52" t="n">
        <f aca="false">IFERROR(INDEX($C$9:$C$14,MATCH(Wording_Ranks!O9,$B$9:$B$14,0)),0)</f>
        <v>1</v>
      </c>
    </row>
    <row r="28" customFormat="false" ht="15" hidden="false" customHeight="true" outlineLevel="0" collapsed="false">
      <c r="A28" s="40" t="n">
        <f aca="false">Wording_Ranks!A10</f>
        <v>9</v>
      </c>
      <c r="B28" s="27" t="str">
        <f aca="false">Wording_Ranks!B10</f>
        <v>Chronic / Severe Rheumatoid Arthritis</v>
      </c>
      <c r="C28" s="52" t="n">
        <f aca="false">IFERROR(INDEX($C$9:$C$14,MATCH(Wording_Ranks!F10,$B$9:$B$14,0)),0)</f>
        <v>0</v>
      </c>
      <c r="D28" s="52" t="n">
        <f aca="false">IFERROR(INDEX($C$9:$C$14,MATCH(Wording_Ranks!H10,$B$9:$B$14,0)),0)</f>
        <v>0</v>
      </c>
      <c r="E28" s="52" t="n">
        <f aca="false">IFERROR(INDEX($C$9:$C$14,MATCH(Wording_Ranks!J10,$B$9:$B$14,0)),0)</f>
        <v>0</v>
      </c>
      <c r="F28" s="52" t="n">
        <f aca="false">IFERROR(INDEX($C$9:$C$14,MATCH(Wording_Ranks!M10,$B$9:$B$14,0)),0)</f>
        <v>1</v>
      </c>
      <c r="G28" s="52" t="n">
        <f aca="false">IFERROR(INDEX($C$9:$C$14,MATCH(Wording_Ranks!O10,$B$9:$B$14,0)),0)</f>
        <v>0</v>
      </c>
    </row>
    <row r="29" customFormat="false" ht="15" hidden="false" customHeight="true" outlineLevel="0" collapsed="false">
      <c r="A29" s="40" t="n">
        <f aca="false">Wording_Ranks!A11</f>
        <v>10</v>
      </c>
      <c r="B29" s="27" t="str">
        <f aca="false">Wording_Ranks!B11</f>
        <v>Aorta Graft Surgery</v>
      </c>
      <c r="C29" s="52" t="n">
        <f aca="false">IFERROR(INDEX($C$9:$C$14,MATCH(Wording_Ranks!F11,$B$9:$B$14,0)),0)</f>
        <v>1</v>
      </c>
      <c r="D29" s="52" t="n">
        <f aca="false">IFERROR(INDEX($C$9:$C$14,MATCH(Wording_Ranks!H11,$B$9:$B$14,0)),0)</f>
        <v>1</v>
      </c>
      <c r="E29" s="52" t="n">
        <f aca="false">IFERROR(INDEX($C$9:$C$14,MATCH(Wording_Ranks!J11,$B$9:$B$14,0)),0)</f>
        <v>1</v>
      </c>
      <c r="F29" s="52" t="n">
        <f aca="false">IFERROR(INDEX($C$9:$C$14,MATCH(Wording_Ranks!M11,$B$9:$B$14,0)),0)</f>
        <v>1</v>
      </c>
      <c r="G29" s="52" t="n">
        <f aca="false">IFERROR(INDEX($C$9:$C$14,MATCH(Wording_Ranks!O11,$B$9:$B$14,0)),0)</f>
        <v>1</v>
      </c>
    </row>
    <row r="30" customFormat="false" ht="15" hidden="false" customHeight="true" outlineLevel="0" collapsed="false">
      <c r="A30" s="40" t="n">
        <f aca="false">Wording_Ranks!A12</f>
        <v>11</v>
      </c>
      <c r="B30" s="27" t="str">
        <f aca="false">Wording_Ranks!B12</f>
        <v>Aortic Aneurysm – Endovascular Repair (Partial)</v>
      </c>
      <c r="C30" s="52" t="n">
        <f aca="false">IFERROR(INDEX($C$9:$C$14,MATCH(Wording_Ranks!F12,$B$9:$B$14,0)),0)</f>
        <v>0.5</v>
      </c>
      <c r="D30" s="52" t="n">
        <f aca="false">IFERROR(INDEX($C$9:$C$14,MATCH(Wording_Ranks!H12,$B$9:$B$14,0)),0)</f>
        <v>0.5</v>
      </c>
      <c r="E30" s="52" t="n">
        <f aca="false">IFERROR(INDEX($C$9:$C$14,MATCH(Wording_Ranks!J12,$B$9:$B$14,0)),0)</f>
        <v>0.5</v>
      </c>
      <c r="F30" s="52" t="n">
        <f aca="false">IFERROR(INDEX($C$9:$C$14,MATCH(Wording_Ranks!M12,$B$9:$B$14,0)),0)</f>
        <v>0.5</v>
      </c>
      <c r="G30" s="52" t="n">
        <f aca="false">IFERROR(INDEX($C$9:$C$14,MATCH(Wording_Ranks!O12,$B$9:$B$14,0)),0)</f>
        <v>0.5</v>
      </c>
    </row>
    <row r="31" customFormat="false" ht="15" hidden="false" customHeight="true" outlineLevel="0" collapsed="false">
      <c r="A31" s="40" t="n">
        <f aca="false">Wording_Ranks!A13</f>
        <v>12</v>
      </c>
      <c r="B31" s="27" t="str">
        <f aca="false">Wording_Ranks!B13</f>
        <v>Balloon Valvuloplasty</v>
      </c>
      <c r="C31" s="52" t="n">
        <f aca="false">IFERROR(INDEX($C$9:$C$14,MATCH(Wording_Ranks!F13,$B$9:$B$14,0)),0)</f>
        <v>1</v>
      </c>
      <c r="D31" s="52" t="n">
        <f aca="false">IFERROR(INDEX($C$9:$C$14,MATCH(Wording_Ranks!H13,$B$9:$B$14,0)),0)</f>
        <v>0</v>
      </c>
      <c r="E31" s="52" t="n">
        <f aca="false">IFERROR(INDEX($C$9:$C$14,MATCH(Wording_Ranks!J13,$B$9:$B$14,0)),0)</f>
        <v>1</v>
      </c>
      <c r="F31" s="52" t="n">
        <f aca="false">IFERROR(INDEX($C$9:$C$14,MATCH(Wording_Ranks!M13,$B$9:$B$14,0)),0)</f>
        <v>1</v>
      </c>
      <c r="G31" s="52" t="n">
        <f aca="false">IFERROR(INDEX($C$9:$C$14,MATCH(Wording_Ranks!O13,$B$9:$B$14,0)),0)</f>
        <v>1</v>
      </c>
    </row>
    <row r="32" customFormat="false" ht="15" hidden="false" customHeight="true" outlineLevel="0" collapsed="false">
      <c r="A32" s="40" t="n">
        <f aca="false">Wording_Ranks!A14</f>
        <v>13</v>
      </c>
      <c r="B32" s="27" t="str">
        <f aca="false">Wording_Ranks!B14</f>
        <v>Cardiac Arrest with Defibrillator Insertion</v>
      </c>
      <c r="C32" s="52" t="n">
        <f aca="false">IFERROR(INDEX($C$9:$C$14,MATCH(Wording_Ranks!F14,$B$9:$B$14,0)),0)</f>
        <v>1</v>
      </c>
      <c r="D32" s="52" t="n">
        <f aca="false">IFERROR(INDEX($C$9:$C$14,MATCH(Wording_Ranks!H14,$B$9:$B$14,0)),0)</f>
        <v>1</v>
      </c>
      <c r="E32" s="52" t="n">
        <f aca="false">IFERROR(INDEX($C$9:$C$14,MATCH(Wording_Ranks!J14,$B$9:$B$14,0)),0)</f>
        <v>1</v>
      </c>
      <c r="F32" s="52" t="n">
        <f aca="false">IFERROR(INDEX($C$9:$C$14,MATCH(Wording_Ranks!M14,$B$9:$B$14,0)),0)</f>
        <v>1</v>
      </c>
      <c r="G32" s="52" t="n">
        <f aca="false">IFERROR(INDEX($C$9:$C$14,MATCH(Wording_Ranks!O14,$B$9:$B$14,0)),0)</f>
        <v>1</v>
      </c>
    </row>
    <row r="33" customFormat="false" ht="15" hidden="false" customHeight="true" outlineLevel="0" collapsed="false">
      <c r="A33" s="40" t="n">
        <f aca="false">Wording_Ranks!A15</f>
        <v>14</v>
      </c>
      <c r="B33" s="27" t="str">
        <f aca="false">Wording_Ranks!B15</f>
        <v>Cardiomyopathy – of Specified Severity</v>
      </c>
      <c r="C33" s="52" t="n">
        <f aca="false">IFERROR(INDEX($C$9:$C$14,MATCH(Wording_Ranks!F15,$B$9:$B$14,0)),0)</f>
        <v>1</v>
      </c>
      <c r="D33" s="52" t="n">
        <f aca="false">IFERROR(INDEX($C$9:$C$14,MATCH(Wording_Ranks!H15,$B$9:$B$14,0)),0)</f>
        <v>1</v>
      </c>
      <c r="E33" s="52" t="n">
        <f aca="false">IFERROR(INDEX($C$9:$C$14,MATCH(Wording_Ranks!J15,$B$9:$B$14,0)),0)</f>
        <v>1</v>
      </c>
      <c r="F33" s="52" t="n">
        <f aca="false">IFERROR(INDEX($C$9:$C$14,MATCH(Wording_Ranks!M15,$B$9:$B$14,0)),0)</f>
        <v>1</v>
      </c>
      <c r="G33" s="52" t="n">
        <f aca="false">IFERROR(INDEX($C$9:$C$14,MATCH(Wording_Ranks!O15,$B$9:$B$14,0)),0)</f>
        <v>1</v>
      </c>
    </row>
    <row r="34" customFormat="false" ht="15" hidden="false" customHeight="true" outlineLevel="0" collapsed="false">
      <c r="A34" s="40" t="n">
        <f aca="false">Wording_Ranks!A16</f>
        <v>15</v>
      </c>
      <c r="B34" s="27" t="str">
        <f aca="false">Wording_Ranks!B16</f>
        <v>Carotid Artery Stenosis – Treated by Endarterectomy or Angioplasty</v>
      </c>
      <c r="C34" s="52" t="n">
        <f aca="false">IFERROR(INDEX($C$9:$C$14,MATCH(Wording_Ranks!F16,$B$9:$B$14,0)),0)</f>
        <v>0.5</v>
      </c>
      <c r="D34" s="52" t="n">
        <f aca="false">IFERROR(INDEX($C$9:$C$14,MATCH(Wording_Ranks!H16,$B$9:$B$14,0)),0)</f>
        <v>0.5</v>
      </c>
      <c r="E34" s="52" t="n">
        <f aca="false">IFERROR(INDEX($C$9:$C$14,MATCH(Wording_Ranks!J16,$B$9:$B$14,0)),0)</f>
        <v>0.5</v>
      </c>
      <c r="F34" s="52" t="n">
        <f aca="false">IFERROR(INDEX($C$9:$C$14,MATCH(Wording_Ranks!M16,$B$9:$B$14,0)),0)</f>
        <v>0.5</v>
      </c>
      <c r="G34" s="52" t="n">
        <f aca="false">IFERROR(INDEX($C$9:$C$14,MATCH(Wording_Ranks!O16,$B$9:$B$14,0)),0)</f>
        <v>0.5</v>
      </c>
    </row>
    <row r="35" customFormat="false" ht="15" hidden="false" customHeight="true" outlineLevel="0" collapsed="false">
      <c r="A35" s="40" t="n">
        <f aca="false">Wording_Ranks!A17</f>
        <v>16</v>
      </c>
      <c r="B35" s="27" t="str">
        <f aca="false">Wording_Ranks!B17</f>
        <v>Coronary Angioplasty (Partial Payment)</v>
      </c>
      <c r="C35" s="52" t="n">
        <f aca="false">IFERROR(INDEX($C$9:$C$14,MATCH(Wording_Ranks!F17,$B$9:$B$14,0)),0)</f>
        <v>0.5</v>
      </c>
      <c r="D35" s="52" t="n">
        <f aca="false">IFERROR(INDEX($C$9:$C$14,MATCH(Wording_Ranks!H17,$B$9:$B$14,0)),0)</f>
        <v>0.5</v>
      </c>
      <c r="E35" s="52" t="n">
        <f aca="false">IFERROR(INDEX($C$9:$C$14,MATCH(Wording_Ranks!J17,$B$9:$B$14,0)),0)</f>
        <v>0.5</v>
      </c>
      <c r="F35" s="52" t="n">
        <f aca="false">IFERROR(INDEX($C$9:$C$14,MATCH(Wording_Ranks!M17,$B$9:$B$14,0)),0)</f>
        <v>0.5</v>
      </c>
      <c r="G35" s="52" t="n">
        <f aca="false">IFERROR(INDEX($C$9:$C$14,MATCH(Wording_Ranks!O17,$B$9:$B$14,0)),0)</f>
        <v>0.5</v>
      </c>
    </row>
    <row r="36" customFormat="false" ht="15" hidden="false" customHeight="true" outlineLevel="0" collapsed="false">
      <c r="A36" s="40" t="n">
        <f aca="false">Wording_Ranks!A18</f>
        <v>17</v>
      </c>
      <c r="B36" s="27" t="str">
        <f aca="false">Wording_Ranks!B18</f>
        <v>Coronary Angioplasty – Single Vessel</v>
      </c>
      <c r="C36" s="52" t="n">
        <f aca="false">IFERROR(INDEX($C$9:$C$14,MATCH(Wording_Ranks!F18,$B$9:$B$14,0)),0)</f>
        <v>0.5</v>
      </c>
      <c r="D36" s="52" t="n">
        <f aca="false">IFERROR(INDEX($C$9:$C$14,MATCH(Wording_Ranks!H18,$B$9:$B$14,0)),0)</f>
        <v>0.5</v>
      </c>
      <c r="E36" s="52" t="n">
        <f aca="false">IFERROR(INDEX($C$9:$C$14,MATCH(Wording_Ranks!J18,$B$9:$B$14,0)),0)</f>
        <v>0.5</v>
      </c>
      <c r="F36" s="52" t="n">
        <f aca="false">IFERROR(INDEX($C$9:$C$14,MATCH(Wording_Ranks!M18,$B$9:$B$14,0)),0)</f>
        <v>0.5</v>
      </c>
      <c r="G36" s="52" t="n">
        <f aca="false">IFERROR(INDEX($C$9:$C$14,MATCH(Wording_Ranks!O18,$B$9:$B$14,0)),0)</f>
        <v>0.5</v>
      </c>
    </row>
    <row r="37" customFormat="false" ht="15" hidden="false" customHeight="true" outlineLevel="0" collapsed="false">
      <c r="A37" s="40" t="n">
        <f aca="false">Wording_Ranks!A19</f>
        <v>18</v>
      </c>
      <c r="B37" s="27" t="str">
        <f aca="false">Wording_Ranks!B19</f>
        <v>Coronary Angioplasty – Two or More Vessels</v>
      </c>
      <c r="C37" s="52" t="n">
        <f aca="false">IFERROR(INDEX($C$9:$C$14,MATCH(Wording_Ranks!F19,$B$9:$B$14,0)),0)</f>
        <v>0.5</v>
      </c>
      <c r="D37" s="52" t="n">
        <f aca="false">IFERROR(INDEX($C$9:$C$14,MATCH(Wording_Ranks!H19,$B$9:$B$14,0)),0)</f>
        <v>0.5</v>
      </c>
      <c r="E37" s="52" t="n">
        <f aca="false">IFERROR(INDEX($C$9:$C$14,MATCH(Wording_Ranks!J19,$B$9:$B$14,0)),0)</f>
        <v>0.5</v>
      </c>
      <c r="F37" s="52" t="n">
        <f aca="false">IFERROR(INDEX($C$9:$C$14,MATCH(Wording_Ranks!M19,$B$9:$B$14,0)),0)</f>
        <v>0.5</v>
      </c>
      <c r="G37" s="52" t="n">
        <f aca="false">IFERROR(INDEX($C$9:$C$14,MATCH(Wording_Ranks!O19,$B$9:$B$14,0)),0)</f>
        <v>0.5</v>
      </c>
    </row>
    <row r="38" customFormat="false" ht="15" hidden="false" customHeight="true" outlineLevel="0" collapsed="false">
      <c r="A38" s="40" t="n">
        <f aca="false">Wording_Ranks!A20</f>
        <v>19</v>
      </c>
      <c r="B38" s="27" t="str">
        <f aca="false">Wording_Ranks!B20</f>
        <v>Coronary Artery Bypass Graft (CABG) – Open Surgery</v>
      </c>
      <c r="C38" s="52" t="n">
        <f aca="false">IFERROR(INDEX($C$9:$C$14,MATCH(Wording_Ranks!F20,$B$9:$B$14,0)),0)</f>
        <v>1</v>
      </c>
      <c r="D38" s="52" t="n">
        <f aca="false">IFERROR(INDEX($C$9:$C$14,MATCH(Wording_Ranks!H20,$B$9:$B$14,0)),0)</f>
        <v>1</v>
      </c>
      <c r="E38" s="52" t="n">
        <f aca="false">IFERROR(INDEX($C$9:$C$14,MATCH(Wording_Ranks!J20,$B$9:$B$14,0)),0)</f>
        <v>1</v>
      </c>
      <c r="F38" s="52" t="n">
        <f aca="false">IFERROR(INDEX($C$9:$C$14,MATCH(Wording_Ranks!M20,$B$9:$B$14,0)),0)</f>
        <v>1</v>
      </c>
      <c r="G38" s="52" t="n">
        <f aca="false">IFERROR(INDEX($C$9:$C$14,MATCH(Wording_Ranks!O20,$B$9:$B$14,0)),0)</f>
        <v>1</v>
      </c>
    </row>
    <row r="39" customFormat="false" ht="15" hidden="false" customHeight="true" outlineLevel="0" collapsed="false">
      <c r="A39" s="40" t="n">
        <f aca="false">Wording_Ranks!A21</f>
        <v>20</v>
      </c>
      <c r="B39" s="27" t="str">
        <f aca="false">Wording_Ranks!B21</f>
        <v>Heart Attack – of Specified Severity</v>
      </c>
      <c r="C39" s="52" t="n">
        <f aca="false">IFERROR(INDEX($C$9:$C$14,MATCH(Wording_Ranks!F21,$B$9:$B$14,0)),0)</f>
        <v>1</v>
      </c>
      <c r="D39" s="52" t="n">
        <f aca="false">IFERROR(INDEX($C$9:$C$14,MATCH(Wording_Ranks!H21,$B$9:$B$14,0)),0)</f>
        <v>1</v>
      </c>
      <c r="E39" s="52" t="n">
        <f aca="false">IFERROR(INDEX($C$9:$C$14,MATCH(Wording_Ranks!J21,$B$9:$B$14,0)),0)</f>
        <v>1</v>
      </c>
      <c r="F39" s="52" t="n">
        <f aca="false">IFERROR(INDEX($C$9:$C$14,MATCH(Wording_Ranks!M21,$B$9:$B$14,0)),0)</f>
        <v>1</v>
      </c>
      <c r="G39" s="52" t="n">
        <f aca="false">IFERROR(INDEX($C$9:$C$14,MATCH(Wording_Ranks!O21,$B$9:$B$14,0)),0)</f>
        <v>1</v>
      </c>
    </row>
    <row r="40" customFormat="false" ht="15" hidden="false" customHeight="true" outlineLevel="0" collapsed="false">
      <c r="A40" s="40" t="n">
        <f aca="false">Wording_Ranks!A22</f>
        <v>21</v>
      </c>
      <c r="B40" s="27" t="str">
        <f aca="false">Wording_Ranks!B22</f>
        <v>Heart Failure</v>
      </c>
      <c r="C40" s="52" t="n">
        <f aca="false">IFERROR(INDEX($C$9:$C$14,MATCH(Wording_Ranks!F22,$B$9:$B$14,0)),0)</f>
        <v>0</v>
      </c>
      <c r="D40" s="52" t="n">
        <f aca="false">IFERROR(INDEX($C$9:$C$14,MATCH(Wording_Ranks!H22,$B$9:$B$14,0)),0)</f>
        <v>0</v>
      </c>
      <c r="E40" s="52" t="n">
        <f aca="false">IFERROR(INDEX($C$9:$C$14,MATCH(Wording_Ranks!J22,$B$9:$B$14,0)),0)</f>
        <v>0</v>
      </c>
      <c r="F40" s="52" t="n">
        <f aca="false">IFERROR(INDEX($C$9:$C$14,MATCH(Wording_Ranks!M22,$B$9:$B$14,0)),0)</f>
        <v>0.5</v>
      </c>
      <c r="G40" s="52" t="n">
        <f aca="false">IFERROR(INDEX($C$9:$C$14,MATCH(Wording_Ranks!O22,$B$9:$B$14,0)),0)</f>
        <v>0</v>
      </c>
    </row>
    <row r="41" customFormat="false" ht="15" hidden="false" customHeight="true" outlineLevel="0" collapsed="false">
      <c r="A41" s="40" t="n">
        <f aca="false">Wording_Ranks!A23</f>
        <v>22</v>
      </c>
      <c r="B41" s="27" t="str">
        <f aca="false">Wording_Ranks!B23</f>
        <v>Heart Structural Repair</v>
      </c>
      <c r="C41" s="52" t="n">
        <f aca="false">IFERROR(INDEX($C$9:$C$14,MATCH(Wording_Ranks!F23,$B$9:$B$14,0)),0)</f>
        <v>0</v>
      </c>
      <c r="D41" s="52" t="n">
        <f aca="false">IFERROR(INDEX($C$9:$C$14,MATCH(Wording_Ranks!H23,$B$9:$B$14,0)),0)</f>
        <v>1</v>
      </c>
      <c r="E41" s="52" t="n">
        <f aca="false">IFERROR(INDEX($C$9:$C$14,MATCH(Wording_Ranks!J23,$B$9:$B$14,0)),0)</f>
        <v>1</v>
      </c>
      <c r="F41" s="52" t="n">
        <f aca="false">IFERROR(INDEX($C$9:$C$14,MATCH(Wording_Ranks!M23,$B$9:$B$14,0)),0)</f>
        <v>1</v>
      </c>
      <c r="G41" s="52" t="n">
        <f aca="false">IFERROR(INDEX($C$9:$C$14,MATCH(Wording_Ranks!O23,$B$9:$B$14,0)),0)</f>
        <v>1</v>
      </c>
    </row>
    <row r="42" customFormat="false" ht="15" hidden="false" customHeight="true" outlineLevel="0" collapsed="false">
      <c r="A42" s="40" t="n">
        <f aca="false">Wording_Ranks!A24</f>
        <v>23</v>
      </c>
      <c r="B42" s="27" t="str">
        <f aca="false">Wording_Ranks!B24</f>
        <v>Heart Valve Replacement or Repair</v>
      </c>
      <c r="C42" s="52" t="n">
        <f aca="false">IFERROR(INDEX($C$9:$C$14,MATCH(Wording_Ranks!F24,$B$9:$B$14,0)),0)</f>
        <v>1</v>
      </c>
      <c r="D42" s="52" t="n">
        <f aca="false">IFERROR(INDEX($C$9:$C$14,MATCH(Wording_Ranks!H24,$B$9:$B$14,0)),0)</f>
        <v>1</v>
      </c>
      <c r="E42" s="52" t="n">
        <f aca="false">IFERROR(INDEX($C$9:$C$14,MATCH(Wording_Ranks!J24,$B$9:$B$14,0)),0)</f>
        <v>1</v>
      </c>
      <c r="F42" s="52" t="n">
        <f aca="false">IFERROR(INDEX($C$9:$C$14,MATCH(Wording_Ranks!M24,$B$9:$B$14,0)),0)</f>
        <v>1</v>
      </c>
      <c r="G42" s="52" t="n">
        <f aca="false">IFERROR(INDEX($C$9:$C$14,MATCH(Wording_Ranks!O24,$B$9:$B$14,0)),0)</f>
        <v>1</v>
      </c>
    </row>
    <row r="43" customFormat="false" ht="15" hidden="false" customHeight="true" outlineLevel="0" collapsed="false">
      <c r="A43" s="40" t="n">
        <f aca="false">Wording_Ranks!A25</f>
        <v>24</v>
      </c>
      <c r="B43" s="27" t="str">
        <f aca="false">Wording_Ranks!B25</f>
        <v>Implantable Cardioverter Defibrillator (ICD) – for Primary Prevention</v>
      </c>
      <c r="C43" s="52" t="n">
        <f aca="false">IFERROR(INDEX($C$9:$C$14,MATCH(Wording_Ranks!F25,$B$9:$B$14,0)),0)</f>
        <v>0.5</v>
      </c>
      <c r="D43" s="52" t="n">
        <f aca="false">IFERROR(INDEX($C$9:$C$14,MATCH(Wording_Ranks!H25,$B$9:$B$14,0)),0)</f>
        <v>0.5</v>
      </c>
      <c r="E43" s="52" t="n">
        <f aca="false">IFERROR(INDEX($C$9:$C$14,MATCH(Wording_Ranks!J25,$B$9:$B$14,0)),0)</f>
        <v>0.5</v>
      </c>
      <c r="F43" s="52" t="n">
        <f aca="false">IFERROR(INDEX($C$9:$C$14,MATCH(Wording_Ranks!M25,$B$9:$B$14,0)),0)</f>
        <v>0.5</v>
      </c>
      <c r="G43" s="52" t="n">
        <f aca="false">IFERROR(INDEX($C$9:$C$14,MATCH(Wording_Ranks!O25,$B$9:$B$14,0)),0)</f>
        <v>0.5</v>
      </c>
    </row>
    <row r="44" customFormat="false" ht="15" hidden="false" customHeight="true" outlineLevel="0" collapsed="false">
      <c r="A44" s="40" t="n">
        <f aca="false">Wording_Ranks!A26</f>
        <v>25</v>
      </c>
      <c r="B44" s="27" t="str">
        <f aca="false">Wording_Ranks!B26</f>
        <v>Open Heart Surgery – with Surgery to Divide the Breastbone</v>
      </c>
      <c r="C44" s="52" t="n">
        <f aca="false">IFERROR(INDEX($C$9:$C$14,MATCH(Wording_Ranks!F26,$B$9:$B$14,0)),0)</f>
        <v>1</v>
      </c>
      <c r="D44" s="52" t="n">
        <f aca="false">IFERROR(INDEX($C$9:$C$14,MATCH(Wording_Ranks!H26,$B$9:$B$14,0)),0)</f>
        <v>0</v>
      </c>
      <c r="E44" s="52" t="n">
        <f aca="false">IFERROR(INDEX($C$9:$C$14,MATCH(Wording_Ranks!J26,$B$9:$B$14,0)),0)</f>
        <v>0</v>
      </c>
      <c r="F44" s="52" t="n">
        <f aca="false">IFERROR(INDEX($C$9:$C$14,MATCH(Wording_Ranks!M26,$B$9:$B$14,0)),0)</f>
        <v>0</v>
      </c>
      <c r="G44" s="52" t="n">
        <f aca="false">IFERROR(INDEX($C$9:$C$14,MATCH(Wording_Ranks!O26,$B$9:$B$14,0)),0)</f>
        <v>0</v>
      </c>
    </row>
    <row r="45" customFormat="false" ht="15" hidden="false" customHeight="true" outlineLevel="0" collapsed="false">
      <c r="A45" s="40" t="n">
        <f aca="false">Wording_Ranks!A27</f>
        <v>26</v>
      </c>
      <c r="B45" s="27" t="str">
        <f aca="false">Wording_Ranks!B27</f>
        <v>Peripheral Vascular Disease – with Surgery or Angioplasty</v>
      </c>
      <c r="C45" s="52" t="n">
        <f aca="false">IFERROR(INDEX($C$9:$C$14,MATCH(Wording_Ranks!F27,$B$9:$B$14,0)),0)</f>
        <v>1</v>
      </c>
      <c r="D45" s="52" t="n">
        <f aca="false">IFERROR(INDEX($C$9:$C$14,MATCH(Wording_Ranks!H27,$B$9:$B$14,0)),0)</f>
        <v>1</v>
      </c>
      <c r="E45" s="52" t="n">
        <f aca="false">IFERROR(INDEX($C$9:$C$14,MATCH(Wording_Ranks!J27,$B$9:$B$14,0)),0)</f>
        <v>1</v>
      </c>
      <c r="F45" s="52" t="n">
        <f aca="false">IFERROR(INDEX($C$9:$C$14,MATCH(Wording_Ranks!M27,$B$9:$B$14,0)),0)</f>
        <v>1</v>
      </c>
      <c r="G45" s="52" t="n">
        <f aca="false">IFERROR(INDEX($C$9:$C$14,MATCH(Wording_Ranks!O27,$B$9:$B$14,0)),0)</f>
        <v>1</v>
      </c>
    </row>
    <row r="46" customFormat="false" ht="15" hidden="false" customHeight="true" outlineLevel="0" collapsed="false">
      <c r="A46" s="40" t="n">
        <f aca="false">Wording_Ranks!A28</f>
        <v>27</v>
      </c>
      <c r="B46" s="27" t="str">
        <f aca="false">Wording_Ranks!B28</f>
        <v>Permanent Pacemaker Insertion</v>
      </c>
      <c r="C46" s="52" t="n">
        <f aca="false">IFERROR(INDEX($C$9:$C$14,MATCH(Wording_Ranks!F28,$B$9:$B$14,0)),0)</f>
        <v>0</v>
      </c>
      <c r="D46" s="52" t="n">
        <f aca="false">IFERROR(INDEX($C$9:$C$14,MATCH(Wording_Ranks!H28,$B$9:$B$14,0)),0)</f>
        <v>0.5</v>
      </c>
      <c r="E46" s="52" t="n">
        <f aca="false">IFERROR(INDEX($C$9:$C$14,MATCH(Wording_Ranks!J28,$B$9:$B$14,0)),0)</f>
        <v>0.5</v>
      </c>
      <c r="F46" s="52" t="n">
        <f aca="false">IFERROR(INDEX($C$9:$C$14,MATCH(Wording_Ranks!M28,$B$9:$B$14,0)),0)</f>
        <v>0.5</v>
      </c>
      <c r="G46" s="52" t="n">
        <f aca="false">IFERROR(INDEX($C$9:$C$14,MATCH(Wording_Ranks!O28,$B$9:$B$14,0)),0)</f>
        <v>0.5</v>
      </c>
    </row>
    <row r="47" customFormat="false" ht="15" hidden="false" customHeight="true" outlineLevel="0" collapsed="false">
      <c r="A47" s="40" t="n">
        <f aca="false">Wording_Ranks!A29</f>
        <v>28</v>
      </c>
      <c r="B47" s="27" t="str">
        <f aca="false">Wording_Ranks!B29</f>
        <v>Pulmonary Artery Graft / Replacement Surgery</v>
      </c>
      <c r="C47" s="52" t="n">
        <f aca="false">IFERROR(INDEX($C$9:$C$14,MATCH(Wording_Ranks!F29,$B$9:$B$14,0)),0)</f>
        <v>1</v>
      </c>
      <c r="D47" s="52" t="n">
        <f aca="false">IFERROR(INDEX($C$9:$C$14,MATCH(Wording_Ranks!H29,$B$9:$B$14,0)),0)</f>
        <v>1</v>
      </c>
      <c r="E47" s="52" t="n">
        <f aca="false">IFERROR(INDEX($C$9:$C$14,MATCH(Wording_Ranks!J29,$B$9:$B$14,0)),0)</f>
        <v>1</v>
      </c>
      <c r="F47" s="52" t="n">
        <f aca="false">IFERROR(INDEX($C$9:$C$14,MATCH(Wording_Ranks!M29,$B$9:$B$14,0)),0)</f>
        <v>1</v>
      </c>
      <c r="G47" s="52" t="n">
        <f aca="false">IFERROR(INDEX($C$9:$C$14,MATCH(Wording_Ranks!O29,$B$9:$B$14,0)),0)</f>
        <v>1</v>
      </c>
    </row>
    <row r="48" customFormat="false" ht="15" hidden="false" customHeight="true" outlineLevel="0" collapsed="false">
      <c r="A48" s="40" t="n">
        <f aca="false">Wording_Ranks!A30</f>
        <v>29</v>
      </c>
      <c r="B48" s="27" t="str">
        <f aca="false">Wording_Ranks!B30</f>
        <v>Advance Payment for Heart Surgery</v>
      </c>
      <c r="C48" s="52" t="n">
        <f aca="false">IFERROR(INDEX($C$9:$C$14,MATCH(Wording_Ranks!F30,$B$9:$B$14,0)),0)</f>
        <v>0</v>
      </c>
      <c r="D48" s="52" t="n">
        <f aca="false">IFERROR(INDEX($C$9:$C$14,MATCH(Wording_Ranks!H30,$B$9:$B$14,0)),0)</f>
        <v>0</v>
      </c>
      <c r="E48" s="52" t="n">
        <f aca="false">IFERROR(INDEX($C$9:$C$14,MATCH(Wording_Ranks!J30,$B$9:$B$14,0)),0)</f>
        <v>0</v>
      </c>
      <c r="F48" s="52" t="n">
        <f aca="false">IFERROR(INDEX($C$9:$C$14,MATCH(Wording_Ranks!M30,$B$9:$B$14,0)),0)</f>
        <v>0.1</v>
      </c>
      <c r="G48" s="52" t="n">
        <f aca="false">IFERROR(INDEX($C$9:$C$14,MATCH(Wording_Ranks!O30,$B$9:$B$14,0)),0)</f>
        <v>0</v>
      </c>
    </row>
    <row r="49" customFormat="false" ht="15" hidden="false" customHeight="true" outlineLevel="0" collapsed="false">
      <c r="A49" s="40" t="n">
        <f aca="false">Wording_Ranks!A31</f>
        <v>30</v>
      </c>
      <c r="B49" s="27" t="str">
        <f aca="false">Wording_Ranks!B31</f>
        <v>Cerebral Aneurysm – with Surgical Repair</v>
      </c>
      <c r="C49" s="52" t="n">
        <f aca="false">IFERROR(INDEX($C$9:$C$14,MATCH(Wording_Ranks!F31,$B$9:$B$14,0)),0)</f>
        <v>0.5</v>
      </c>
      <c r="D49" s="52" t="n">
        <f aca="false">IFERROR(INDEX($C$9:$C$14,MATCH(Wording_Ranks!H31,$B$9:$B$14,0)),0)</f>
        <v>0</v>
      </c>
      <c r="E49" s="52" t="n">
        <f aca="false">IFERROR(INDEX($C$9:$C$14,MATCH(Wording_Ranks!J31,$B$9:$B$14,0)),0)</f>
        <v>0.5</v>
      </c>
      <c r="F49" s="52" t="n">
        <f aca="false">IFERROR(INDEX($C$9:$C$14,MATCH(Wording_Ranks!M31,$B$9:$B$14,0)),0)</f>
        <v>0.5</v>
      </c>
      <c r="G49" s="52" t="n">
        <f aca="false">IFERROR(INDEX($C$9:$C$14,MATCH(Wording_Ranks!O31,$B$9:$B$14,0)),0)</f>
        <v>0.5</v>
      </c>
    </row>
    <row r="50" customFormat="false" ht="15" hidden="false" customHeight="true" outlineLevel="0" collapsed="false">
      <c r="A50" s="40" t="n">
        <f aca="false">Wording_Ranks!A32</f>
        <v>31</v>
      </c>
      <c r="B50" s="27" t="str">
        <f aca="false">Wording_Ranks!B32</f>
        <v>Cerebral Arteriovenous Malformation – Requiring Surgery</v>
      </c>
      <c r="C50" s="52" t="n">
        <f aca="false">IFERROR(INDEX($C$9:$C$14,MATCH(Wording_Ranks!F32,$B$9:$B$14,0)),0)</f>
        <v>0.5</v>
      </c>
      <c r="D50" s="52" t="n">
        <f aca="false">IFERROR(INDEX($C$9:$C$14,MATCH(Wording_Ranks!H32,$B$9:$B$14,0)),0)</f>
        <v>0</v>
      </c>
      <c r="E50" s="52" t="n">
        <f aca="false">IFERROR(INDEX($C$9:$C$14,MATCH(Wording_Ranks!J32,$B$9:$B$14,0)),0)</f>
        <v>0.5</v>
      </c>
      <c r="F50" s="52" t="n">
        <f aca="false">IFERROR(INDEX($C$9:$C$14,MATCH(Wording_Ranks!M32,$B$9:$B$14,0)),0)</f>
        <v>0.5</v>
      </c>
      <c r="G50" s="52" t="n">
        <f aca="false">IFERROR(INDEX($C$9:$C$14,MATCH(Wording_Ranks!O32,$B$9:$B$14,0)),0)</f>
        <v>0.5</v>
      </c>
    </row>
    <row r="51" customFormat="false" ht="15" hidden="false" customHeight="true" outlineLevel="0" collapsed="false">
      <c r="A51" s="40" t="n">
        <f aca="false">Wording_Ranks!A33</f>
        <v>32</v>
      </c>
      <c r="B51" s="27" t="str">
        <f aca="false">Wording_Ranks!B33</f>
        <v>Cerebral or Spinal Aneurysm – with Surgical Repair</v>
      </c>
      <c r="C51" s="52" t="n">
        <f aca="false">IFERROR(INDEX($C$9:$C$14,MATCH(Wording_Ranks!F33,$B$9:$B$14,0)),0)</f>
        <v>0</v>
      </c>
      <c r="D51" s="52" t="n">
        <f aca="false">IFERROR(INDEX($C$9:$C$14,MATCH(Wording_Ranks!H33,$B$9:$B$14,0)),0)</f>
        <v>0.5</v>
      </c>
      <c r="E51" s="52" t="n">
        <f aca="false">IFERROR(INDEX($C$9:$C$14,MATCH(Wording_Ranks!J33,$B$9:$B$14,0)),0)</f>
        <v>0.5</v>
      </c>
      <c r="F51" s="52" t="n">
        <f aca="false">IFERROR(INDEX($C$9:$C$14,MATCH(Wording_Ranks!M33,$B$9:$B$14,0)),0)</f>
        <v>0.5</v>
      </c>
      <c r="G51" s="52" t="n">
        <f aca="false">IFERROR(INDEX($C$9:$C$14,MATCH(Wording_Ranks!O33,$B$9:$B$14,0)),0)</f>
        <v>0</v>
      </c>
    </row>
    <row r="52" customFormat="false" ht="15" hidden="false" customHeight="true" outlineLevel="0" collapsed="false">
      <c r="A52" s="40" t="n">
        <f aca="false">Wording_Ranks!A34</f>
        <v>33</v>
      </c>
      <c r="B52" s="27" t="str">
        <f aca="false">Wording_Ranks!B34</f>
        <v>Cerebral or Spinal Arteriovenous Malformation – Requiring Surgery</v>
      </c>
      <c r="C52" s="52" t="n">
        <f aca="false">IFERROR(INDEX($C$9:$C$14,MATCH(Wording_Ranks!F34,$B$9:$B$14,0)),0)</f>
        <v>0</v>
      </c>
      <c r="D52" s="52" t="n">
        <f aca="false">IFERROR(INDEX($C$9:$C$14,MATCH(Wording_Ranks!H34,$B$9:$B$14,0)),0)</f>
        <v>0.5</v>
      </c>
      <c r="E52" s="52" t="n">
        <f aca="false">IFERROR(INDEX($C$9:$C$14,MATCH(Wording_Ranks!J34,$B$9:$B$14,0)),0)</f>
        <v>0</v>
      </c>
      <c r="F52" s="52" t="n">
        <f aca="false">IFERROR(INDEX($C$9:$C$14,MATCH(Wording_Ranks!M34,$B$9:$B$14,0)),0)</f>
        <v>0.5</v>
      </c>
      <c r="G52" s="52" t="n">
        <f aca="false">IFERROR(INDEX($C$9:$C$14,MATCH(Wording_Ranks!O34,$B$9:$B$14,0)),0)</f>
        <v>0</v>
      </c>
    </row>
    <row r="53" customFormat="false" ht="15" hidden="false" customHeight="true" outlineLevel="0" collapsed="false">
      <c r="A53" s="40" t="n">
        <f aca="false">Wording_Ranks!A35</f>
        <v>34</v>
      </c>
      <c r="B53" s="27" t="str">
        <f aca="false">Wording_Ranks!B35</f>
        <v>Stroke – Resulting in Specified Symptoms</v>
      </c>
      <c r="C53" s="52" t="n">
        <f aca="false">IFERROR(INDEX($C$9:$C$14,MATCH(Wording_Ranks!F35,$B$9:$B$14,0)),0)</f>
        <v>1</v>
      </c>
      <c r="D53" s="52" t="n">
        <f aca="false">IFERROR(INDEX($C$9:$C$14,MATCH(Wording_Ranks!H35,$B$9:$B$14,0)),0)</f>
        <v>1</v>
      </c>
      <c r="E53" s="52" t="n">
        <f aca="false">IFERROR(INDEX($C$9:$C$14,MATCH(Wording_Ranks!J35,$B$9:$B$14,0)),0)</f>
        <v>1</v>
      </c>
      <c r="F53" s="52" t="n">
        <f aca="false">IFERROR(INDEX($C$9:$C$14,MATCH(Wording_Ranks!M35,$B$9:$B$14,0)),0)</f>
        <v>1</v>
      </c>
      <c r="G53" s="52" t="n">
        <f aca="false">IFERROR(INDEX($C$9:$C$14,MATCH(Wording_Ranks!O35,$B$9:$B$14,0)),0)</f>
        <v>1</v>
      </c>
    </row>
    <row r="54" customFormat="false" ht="15" hidden="false" customHeight="true" outlineLevel="0" collapsed="false">
      <c r="A54" s="40" t="n">
        <f aca="false">Wording_Ranks!A36</f>
        <v>35</v>
      </c>
      <c r="B54" s="27" t="str">
        <f aca="false">Wording_Ranks!B36</f>
        <v>Primary Pulmonary Hypertension – of Specified Severity</v>
      </c>
      <c r="C54" s="52" t="n">
        <f aca="false">IFERROR(INDEX($C$9:$C$14,MATCH(Wording_Ranks!F36,$B$9:$B$14,0)),0)</f>
        <v>1</v>
      </c>
      <c r="D54" s="52" t="n">
        <f aca="false">IFERROR(INDEX($C$9:$C$14,MATCH(Wording_Ranks!H36,$B$9:$B$14,0)),0)</f>
        <v>1</v>
      </c>
      <c r="E54" s="52" t="n">
        <f aca="false">IFERROR(INDEX($C$9:$C$14,MATCH(Wording_Ranks!J36,$B$9:$B$14,0)),0)</f>
        <v>1</v>
      </c>
      <c r="F54" s="52" t="n">
        <f aca="false">IFERROR(INDEX($C$9:$C$14,MATCH(Wording_Ranks!M36,$B$9:$B$14,0)),0)</f>
        <v>1</v>
      </c>
      <c r="G54" s="52" t="n">
        <f aca="false">IFERROR(INDEX($C$9:$C$14,MATCH(Wording_Ranks!O36,$B$9:$B$14,0)),0)</f>
        <v>1</v>
      </c>
    </row>
    <row r="55" customFormat="false" ht="15" hidden="false" customHeight="true" outlineLevel="0" collapsed="false">
      <c r="A55" s="40" t="n">
        <f aca="false">Wording_Ranks!A37</f>
        <v>36</v>
      </c>
      <c r="B55" s="27" t="str">
        <f aca="false">Wording_Ranks!B37</f>
        <v>Central Retinal Artery/Vein Occlusion (Eye Stroke)</v>
      </c>
      <c r="C55" s="52" t="n">
        <f aca="false">IFERROR(INDEX($C$9:$C$14,MATCH(Wording_Ranks!F37,$B$9:$B$14,0)),0)</f>
        <v>0.5</v>
      </c>
      <c r="D55" s="52" t="n">
        <f aca="false">IFERROR(INDEX($C$9:$C$14,MATCH(Wording_Ranks!H37,$B$9:$B$14,0)),0)</f>
        <v>0.5</v>
      </c>
      <c r="E55" s="52" t="n">
        <f aca="false">IFERROR(INDEX($C$9:$C$14,MATCH(Wording_Ranks!J37,$B$9:$B$14,0)),0)</f>
        <v>0.5</v>
      </c>
      <c r="F55" s="52" t="n">
        <f aca="false">IFERROR(INDEX($C$9:$C$14,MATCH(Wording_Ranks!M37,$B$9:$B$14,0)),0)</f>
        <v>0.5</v>
      </c>
      <c r="G55" s="52" t="n">
        <f aca="false">IFERROR(INDEX($C$9:$C$14,MATCH(Wording_Ranks!O37,$B$9:$B$14,0)),0)</f>
        <v>0.5</v>
      </c>
    </row>
    <row r="56" customFormat="false" ht="15" hidden="false" customHeight="true" outlineLevel="0" collapsed="false">
      <c r="A56" s="40" t="n">
        <f aca="false">Wording_Ranks!A38</f>
        <v>37</v>
      </c>
      <c r="B56" s="27" t="str">
        <f aca="false">Wording_Ranks!B38</f>
        <v>Child Overseas Surgery Benefit</v>
      </c>
      <c r="C56" s="52" t="n">
        <f aca="false">IFERROR(INDEX($C$9:$C$14,MATCH(Wording_Ranks!F38,$B$9:$B$14,0)),0)</f>
        <v>0</v>
      </c>
      <c r="D56" s="52" t="n">
        <f aca="false">IFERROR(INDEX($C$9:$C$14,MATCH(Wording_Ranks!H38,$B$9:$B$14,0)),0)</f>
        <v>0</v>
      </c>
      <c r="E56" s="52" t="n">
        <f aca="false">IFERROR(INDEX($C$9:$C$14,MATCH(Wording_Ranks!J38,$B$9:$B$14,0)),0)</f>
        <v>0</v>
      </c>
      <c r="F56" s="52" t="n">
        <f aca="false">IFERROR(INDEX($C$9:$C$14,MATCH(Wording_Ranks!M38,$B$9:$B$14,0)),0)</f>
        <v>0</v>
      </c>
      <c r="G56" s="52" t="n">
        <f aca="false">IFERROR(INDEX($C$9:$C$14,MATCH(Wording_Ranks!O38,$B$9:$B$14,0)),0)</f>
        <v>0</v>
      </c>
    </row>
    <row r="57" customFormat="false" ht="15" hidden="false" customHeight="true" outlineLevel="0" collapsed="false">
      <c r="A57" s="40" t="n">
        <f aca="false">Wording_Ranks!A39</f>
        <v>38</v>
      </c>
      <c r="B57" s="27" t="str">
        <f aca="false">Wording_Ranks!B39</f>
        <v>Children's Hospital Cash Cover</v>
      </c>
      <c r="C57" s="52" t="n">
        <f aca="false">IFERROR(INDEX($C$9:$C$14,MATCH(Wording_Ranks!F39,$B$9:$B$14,0)),0)</f>
        <v>0</v>
      </c>
      <c r="D57" s="52" t="n">
        <f aca="false">IFERROR(INDEX($C$9:$C$14,MATCH(Wording_Ranks!H39,$B$9:$B$14,0)),0)</f>
        <v>0.1</v>
      </c>
      <c r="E57" s="52" t="n">
        <f aca="false">IFERROR(INDEX($C$9:$C$14,MATCH(Wording_Ranks!J39,$B$9:$B$14,0)),0)</f>
        <v>0.1</v>
      </c>
      <c r="F57" s="52" t="n">
        <f aca="false">IFERROR(INDEX($C$9:$C$14,MATCH(Wording_Ranks!M39,$B$9:$B$14,0)),0)</f>
        <v>0</v>
      </c>
      <c r="G57" s="52" t="n">
        <f aca="false">IFERROR(INDEX($C$9:$C$14,MATCH(Wording_Ranks!O39,$B$9:$B$14,0)),0)</f>
        <v>0.1</v>
      </c>
    </row>
    <row r="58" customFormat="false" ht="15" hidden="false" customHeight="true" outlineLevel="0" collapsed="false">
      <c r="A58" s="40" t="n">
        <f aca="false">Wording_Ranks!A40</f>
        <v>39</v>
      </c>
      <c r="B58" s="27" t="str">
        <f aca="false">Wording_Ranks!B40</f>
        <v>Children's Life Cover</v>
      </c>
      <c r="C58" s="52" t="n">
        <f aca="false">IFERROR(INDEX($C$9:$C$14,MATCH(Wording_Ranks!F40,$B$9:$B$14,0)),0)</f>
        <v>0</v>
      </c>
      <c r="D58" s="52" t="n">
        <f aca="false">IFERROR(INDEX($C$9:$C$14,MATCH(Wording_Ranks!H40,$B$9:$B$14,0)),0)</f>
        <v>0.1</v>
      </c>
      <c r="E58" s="52" t="n">
        <f aca="false">IFERROR(INDEX($C$9:$C$14,MATCH(Wording_Ranks!J40,$B$9:$B$14,0)),0)</f>
        <v>0</v>
      </c>
      <c r="F58" s="52" t="n">
        <f aca="false">IFERROR(INDEX($C$9:$C$14,MATCH(Wording_Ranks!M40,$B$9:$B$14,0)),0)</f>
        <v>0.1</v>
      </c>
      <c r="G58" s="52" t="n">
        <f aca="false">IFERROR(INDEX($C$9:$C$14,MATCH(Wording_Ranks!O40,$B$9:$B$14,0)),0)</f>
        <v>0.1</v>
      </c>
    </row>
    <row r="59" customFormat="false" ht="15" hidden="false" customHeight="true" outlineLevel="0" collapsed="false">
      <c r="A59" s="40" t="n">
        <f aca="false">Wording_Ranks!A41</f>
        <v>40</v>
      </c>
      <c r="B59" s="27" t="str">
        <f aca="false">Wording_Ranks!B41</f>
        <v>Children's Partial Payment Serious Illness Benefit</v>
      </c>
      <c r="C59" s="52" t="n">
        <f aca="false">IFERROR(INDEX($C$9:$C$14,MATCH(Wording_Ranks!F41,$B$9:$B$14,0)),0)</f>
        <v>0</v>
      </c>
      <c r="D59" s="52" t="n">
        <f aca="false">IFERROR(INDEX($C$9:$C$14,MATCH(Wording_Ranks!H41,$B$9:$B$14,0)),0)</f>
        <v>0</v>
      </c>
      <c r="E59" s="52" t="n">
        <f aca="false">IFERROR(INDEX($C$9:$C$14,MATCH(Wording_Ranks!J41,$B$9:$B$14,0)),0)</f>
        <v>0</v>
      </c>
      <c r="F59" s="52" t="n">
        <f aca="false">IFERROR(INDEX($C$9:$C$14,MATCH(Wording_Ranks!M41,$B$9:$B$14,0)),0)</f>
        <v>0</v>
      </c>
      <c r="G59" s="52" t="n">
        <f aca="false">IFERROR(INDEX($C$9:$C$14,MATCH(Wording_Ranks!O41,$B$9:$B$14,0)),0)</f>
        <v>0</v>
      </c>
    </row>
    <row r="60" customFormat="false" ht="15" hidden="false" customHeight="true" outlineLevel="0" collapsed="false">
      <c r="A60" s="40" t="n">
        <f aca="false">Wording_Ranks!A42</f>
        <v>41</v>
      </c>
      <c r="B60" s="27" t="str">
        <f aca="false">Wording_Ranks!B42</f>
        <v>Children's Specified Illness Cover</v>
      </c>
      <c r="C60" s="52" t="n">
        <f aca="false">IFERROR(INDEX($C$9:$C$14,MATCH(Wording_Ranks!F42,$B$9:$B$14,0)),0)</f>
        <v>0</v>
      </c>
      <c r="D60" s="52" t="n">
        <f aca="false">IFERROR(INDEX($C$9:$C$14,MATCH(Wording_Ranks!H42,$B$9:$B$14,0)),0)</f>
        <v>0</v>
      </c>
      <c r="E60" s="52" t="n">
        <f aca="false">IFERROR(INDEX($C$9:$C$14,MATCH(Wording_Ranks!J42,$B$9:$B$14,0)),0)</f>
        <v>0</v>
      </c>
      <c r="F60" s="52" t="n">
        <f aca="false">IFERROR(INDEX($C$9:$C$14,MATCH(Wording_Ranks!M42,$B$9:$B$14,0)),0)</f>
        <v>0</v>
      </c>
      <c r="G60" s="52" t="n">
        <f aca="false">IFERROR(INDEX($C$9:$C$14,MATCH(Wording_Ranks!O42,$B$9:$B$14,0)),0)</f>
        <v>0</v>
      </c>
    </row>
    <row r="61" customFormat="false" ht="15" hidden="false" customHeight="true" outlineLevel="0" collapsed="false">
      <c r="A61" s="40" t="n">
        <f aca="false">Wording_Ranks!A43</f>
        <v>42</v>
      </c>
      <c r="B61" s="27" t="str">
        <f aca="false">Wording_Ranks!B43</f>
        <v>Intensive Care – Mechanical Ventilation 10+ Days</v>
      </c>
      <c r="C61" s="52" t="n">
        <f aca="false">IFERROR(INDEX($C$9:$C$14,MATCH(Wording_Ranks!F43,$B$9:$B$14,0)),0)</f>
        <v>1</v>
      </c>
      <c r="D61" s="52" t="n">
        <f aca="false">IFERROR(INDEX($C$9:$C$14,MATCH(Wording_Ranks!H43,$B$9:$B$14,0)),0)</f>
        <v>1</v>
      </c>
      <c r="E61" s="52" t="n">
        <f aca="false">IFERROR(INDEX($C$9:$C$14,MATCH(Wording_Ranks!J43,$B$9:$B$14,0)),0)</f>
        <v>1</v>
      </c>
      <c r="F61" s="52" t="n">
        <f aca="false">IFERROR(INDEX($C$9:$C$14,MATCH(Wording_Ranks!M43,$B$9:$B$14,0)),0)</f>
        <v>1</v>
      </c>
      <c r="G61" s="52" t="n">
        <f aca="false">IFERROR(INDEX($C$9:$C$14,MATCH(Wording_Ranks!O43,$B$9:$B$14,0)),0)</f>
        <v>1</v>
      </c>
    </row>
    <row r="62" customFormat="false" ht="15" hidden="false" customHeight="true" outlineLevel="0" collapsed="false">
      <c r="A62" s="40" t="n">
        <f aca="false">Wording_Ranks!A44</f>
        <v>43</v>
      </c>
      <c r="B62" s="27" t="str">
        <f aca="false">Wording_Ranks!B44</f>
        <v>Type 1 Diabetes Mellitus</v>
      </c>
      <c r="C62" s="52" t="n">
        <f aca="false">IFERROR(INDEX($C$9:$C$14,MATCH(Wording_Ranks!F44,$B$9:$B$14,0)),0)</f>
        <v>0</v>
      </c>
      <c r="D62" s="52" t="n">
        <f aca="false">IFERROR(INDEX($C$9:$C$14,MATCH(Wording_Ranks!H44,$B$9:$B$14,0)),0)</f>
        <v>0</v>
      </c>
      <c r="E62" s="52" t="n">
        <f aca="false">IFERROR(INDEX($C$9:$C$14,MATCH(Wording_Ranks!J44,$B$9:$B$14,0)),0)</f>
        <v>0.5</v>
      </c>
      <c r="F62" s="52" t="n">
        <f aca="false">IFERROR(INDEX($C$9:$C$14,MATCH(Wording_Ranks!M44,$B$9:$B$14,0)),0)</f>
        <v>0.5</v>
      </c>
      <c r="G62" s="52" t="n">
        <f aca="false">IFERROR(INDEX($C$9:$C$14,MATCH(Wording_Ranks!O44,$B$9:$B$14,0)),0)</f>
        <v>0.5</v>
      </c>
    </row>
    <row r="63" customFormat="false" ht="15" hidden="false" customHeight="true" outlineLevel="0" collapsed="false">
      <c r="A63" s="40" t="n">
        <f aca="false">Wording_Ranks!A45</f>
        <v>44</v>
      </c>
      <c r="B63" s="27" t="str">
        <f aca="false">Wording_Ranks!B45</f>
        <v>Loss of Independent Existence – Permanent and Irreversible</v>
      </c>
      <c r="C63" s="52" t="n">
        <f aca="false">IFERROR(INDEX($C$9:$C$14,MATCH(Wording_Ranks!F45,$B$9:$B$14,0)),0)</f>
        <v>1</v>
      </c>
      <c r="D63" s="52" t="n">
        <f aca="false">IFERROR(INDEX($C$9:$C$14,MATCH(Wording_Ranks!H45,$B$9:$B$14,0)),0)</f>
        <v>1</v>
      </c>
      <c r="E63" s="52" t="n">
        <f aca="false">IFERROR(INDEX($C$9:$C$14,MATCH(Wording_Ranks!J45,$B$9:$B$14,0)),0)</f>
        <v>0</v>
      </c>
      <c r="F63" s="52" t="n">
        <f aca="false">IFERROR(INDEX($C$9:$C$14,MATCH(Wording_Ranks!M45,$B$9:$B$14,0)),0)</f>
        <v>1</v>
      </c>
      <c r="G63" s="52" t="n">
        <f aca="false">IFERROR(INDEX($C$9:$C$14,MATCH(Wording_Ranks!O45,$B$9:$B$14,0)),0)</f>
        <v>1</v>
      </c>
    </row>
    <row r="64" customFormat="false" ht="15" hidden="false" customHeight="true" outlineLevel="0" collapsed="false">
      <c r="A64" s="40" t="n">
        <f aca="false">Wording_Ranks!A46</f>
        <v>45</v>
      </c>
      <c r="B64" s="27" t="str">
        <f aca="false">Wording_Ranks!B46</f>
        <v>Total and Permanent Disability (TPD)</v>
      </c>
      <c r="C64" s="52" t="n">
        <f aca="false">IFERROR(INDEX($C$9:$C$14,MATCH(Wording_Ranks!F46,$B$9:$B$14,0)),0)</f>
        <v>0</v>
      </c>
      <c r="D64" s="52" t="n">
        <f aca="false">IFERROR(INDEX($C$9:$C$14,MATCH(Wording_Ranks!H46,$B$9:$B$14,0)),0)</f>
        <v>0</v>
      </c>
      <c r="E64" s="52" t="n">
        <f aca="false">IFERROR(INDEX($C$9:$C$14,MATCH(Wording_Ranks!J46,$B$9:$B$14,0)),0)</f>
        <v>1</v>
      </c>
      <c r="F64" s="52" t="n">
        <f aca="false">IFERROR(INDEX($C$9:$C$14,MATCH(Wording_Ranks!M46,$B$9:$B$14,0)),0)</f>
        <v>0</v>
      </c>
      <c r="G64" s="52" t="n">
        <f aca="false">IFERROR(INDEX($C$9:$C$14,MATCH(Wording_Ranks!O46,$B$9:$B$14,0)),0)</f>
        <v>1</v>
      </c>
    </row>
    <row r="65" customFormat="false" ht="15" hidden="false" customHeight="true" outlineLevel="0" collapsed="false">
      <c r="A65" s="40" t="n">
        <f aca="false">Wording_Ranks!A47</f>
        <v>46</v>
      </c>
      <c r="B65" s="27" t="str">
        <f aca="false">Wording_Ranks!B47</f>
        <v>Paralysis of One Limb – Total and Irreversible</v>
      </c>
      <c r="C65" s="52" t="n">
        <f aca="false">IFERROR(INDEX($C$9:$C$14,MATCH(Wording_Ranks!F47,$B$9:$B$14,0)),0)</f>
        <v>0</v>
      </c>
      <c r="D65" s="52" t="n">
        <f aca="false">IFERROR(INDEX($C$9:$C$14,MATCH(Wording_Ranks!H47,$B$9:$B$14,0)),0)</f>
        <v>1</v>
      </c>
      <c r="E65" s="52" t="n">
        <f aca="false">IFERROR(INDEX($C$9:$C$14,MATCH(Wording_Ranks!J47,$B$9:$B$14,0)),0)</f>
        <v>1</v>
      </c>
      <c r="F65" s="52" t="n">
        <f aca="false">IFERROR(INDEX($C$9:$C$14,MATCH(Wording_Ranks!M47,$B$9:$B$14,0)),0)</f>
        <v>1</v>
      </c>
      <c r="G65" s="52" t="n">
        <f aca="false">IFERROR(INDEX($C$9:$C$14,MATCH(Wording_Ranks!O47,$B$9:$B$14,0)),0)</f>
        <v>0</v>
      </c>
    </row>
    <row r="66" customFormat="false" ht="15" hidden="false" customHeight="true" outlineLevel="0" collapsed="false">
      <c r="A66" s="40" t="n">
        <f aca="false">Wording_Ranks!A48</f>
        <v>47</v>
      </c>
      <c r="B66" s="27" t="str">
        <f aca="false">Wording_Ranks!B48</f>
        <v>Paralysis – Total Loss of Limb Function</v>
      </c>
      <c r="C66" s="52" t="n">
        <f aca="false">IFERROR(INDEX($C$9:$C$14,MATCH(Wording_Ranks!F48,$B$9:$B$14,0)),0)</f>
        <v>1</v>
      </c>
      <c r="D66" s="52" t="n">
        <f aca="false">IFERROR(INDEX($C$9:$C$14,MATCH(Wording_Ranks!H48,$B$9:$B$14,0)),0)</f>
        <v>0</v>
      </c>
      <c r="E66" s="52" t="n">
        <f aca="false">IFERROR(INDEX($C$9:$C$14,MATCH(Wording_Ranks!J48,$B$9:$B$14,0)),0)</f>
        <v>0</v>
      </c>
      <c r="F66" s="52" t="n">
        <f aca="false">IFERROR(INDEX($C$9:$C$14,MATCH(Wording_Ranks!M48,$B$9:$B$14,0)),0)</f>
        <v>0</v>
      </c>
      <c r="G66" s="52" t="n">
        <f aca="false">IFERROR(INDEX($C$9:$C$14,MATCH(Wording_Ranks!O48,$B$9:$B$14,0)),0)</f>
        <v>1</v>
      </c>
    </row>
    <row r="67" customFormat="false" ht="15" hidden="false" customHeight="true" outlineLevel="0" collapsed="false">
      <c r="A67" s="40" t="n">
        <f aca="false">Wording_Ranks!A49</f>
        <v>48</v>
      </c>
      <c r="B67" s="27" t="str">
        <f aca="false">Wording_Ranks!B49</f>
        <v>Loss of Hand or Foot – Permanent Physical Severance</v>
      </c>
      <c r="C67" s="52" t="n">
        <f aca="false">IFERROR(INDEX($C$9:$C$14,MATCH(Wording_Ranks!F49,$B$9:$B$14,0)),0)</f>
        <v>1</v>
      </c>
      <c r="D67" s="52" t="n">
        <f aca="false">IFERROR(INDEX($C$9:$C$14,MATCH(Wording_Ranks!H49,$B$9:$B$14,0)),0)</f>
        <v>0</v>
      </c>
      <c r="E67" s="52" t="n">
        <f aca="false">IFERROR(INDEX($C$9:$C$14,MATCH(Wording_Ranks!J49,$B$9:$B$14,0)),0)</f>
        <v>0</v>
      </c>
      <c r="F67" s="52" t="n">
        <f aca="false">IFERROR(INDEX($C$9:$C$14,MATCH(Wording_Ranks!M49,$B$9:$B$14,0)),0)</f>
        <v>0</v>
      </c>
      <c r="G67" s="52" t="n">
        <f aca="false">IFERROR(INDEX($C$9:$C$14,MATCH(Wording_Ranks!O49,$B$9:$B$14,0)),0)</f>
        <v>0</v>
      </c>
    </row>
    <row r="68" customFormat="false" ht="15" hidden="false" customHeight="true" outlineLevel="0" collapsed="false">
      <c r="A68" s="40" t="n">
        <f aca="false">Wording_Ranks!A50</f>
        <v>49</v>
      </c>
      <c r="B68" s="27" t="str">
        <f aca="false">Wording_Ranks!B50</f>
        <v>Loss of One Limb – Permanent Physical Severance</v>
      </c>
      <c r="C68" s="52" t="n">
        <f aca="false">IFERROR(INDEX($C$9:$C$14,MATCH(Wording_Ranks!F50,$B$9:$B$14,0)),0)</f>
        <v>0</v>
      </c>
      <c r="D68" s="52" t="n">
        <f aca="false">IFERROR(INDEX($C$9:$C$14,MATCH(Wording_Ranks!H50,$B$9:$B$14,0)),0)</f>
        <v>1</v>
      </c>
      <c r="E68" s="52" t="n">
        <f aca="false">IFERROR(INDEX($C$9:$C$14,MATCH(Wording_Ranks!J50,$B$9:$B$14,0)),0)</f>
        <v>1</v>
      </c>
      <c r="F68" s="52" t="n">
        <f aca="false">IFERROR(INDEX($C$9:$C$14,MATCH(Wording_Ranks!M50,$B$9:$B$14,0)),0)</f>
        <v>1</v>
      </c>
      <c r="G68" s="52" t="n">
        <f aca="false">IFERROR(INDEX($C$9:$C$14,MATCH(Wording_Ranks!O50,$B$9:$B$14,0)),0)</f>
        <v>1</v>
      </c>
    </row>
    <row r="69" customFormat="false" ht="15" hidden="false" customHeight="true" outlineLevel="0" collapsed="false">
      <c r="A69" s="40" t="n">
        <f aca="false">Wording_Ranks!A51</f>
        <v>50</v>
      </c>
      <c r="B69" s="27" t="str">
        <f aca="false">Wording_Ranks!B51</f>
        <v>Chronic Pancreatitis</v>
      </c>
      <c r="C69" s="52" t="n">
        <f aca="false">IFERROR(INDEX($C$9:$C$14,MATCH(Wording_Ranks!F51,$B$9:$B$14,0)),0)</f>
        <v>1</v>
      </c>
      <c r="D69" s="52" t="n">
        <f aca="false">IFERROR(INDEX($C$9:$C$14,MATCH(Wording_Ranks!H51,$B$9:$B$14,0)),0)</f>
        <v>1</v>
      </c>
      <c r="E69" s="52" t="n">
        <f aca="false">IFERROR(INDEX($C$9:$C$14,MATCH(Wording_Ranks!J51,$B$9:$B$14,0)),0)</f>
        <v>1</v>
      </c>
      <c r="F69" s="52" t="n">
        <f aca="false">IFERROR(INDEX($C$9:$C$14,MATCH(Wording_Ranks!M51,$B$9:$B$14,0)),0)</f>
        <v>1</v>
      </c>
      <c r="G69" s="52" t="n">
        <f aca="false">IFERROR(INDEX($C$9:$C$14,MATCH(Wording_Ranks!O51,$B$9:$B$14,0)),0)</f>
        <v>0</v>
      </c>
    </row>
    <row r="70" customFormat="false" ht="15" hidden="false" customHeight="true" outlineLevel="0" collapsed="false">
      <c r="A70" s="40" t="n">
        <f aca="false">Wording_Ranks!A52</f>
        <v>51</v>
      </c>
      <c r="B70" s="27" t="str">
        <f aca="false">Wording_Ranks!B52</f>
        <v>Crohn's Disease – Severe / with Surgical Resection</v>
      </c>
      <c r="C70" s="52" t="n">
        <f aca="false">IFERROR(INDEX($C$9:$C$14,MATCH(Wording_Ranks!F52,$B$9:$B$14,0)),0)</f>
        <v>1</v>
      </c>
      <c r="D70" s="52" t="n">
        <f aca="false">IFERROR(INDEX($C$9:$C$14,MATCH(Wording_Ranks!H52,$B$9:$B$14,0)),0)</f>
        <v>1</v>
      </c>
      <c r="E70" s="52" t="n">
        <f aca="false">IFERROR(INDEX($C$9:$C$14,MATCH(Wording_Ranks!J52,$B$9:$B$14,0)),0)</f>
        <v>1</v>
      </c>
      <c r="F70" s="52" t="n">
        <f aca="false">IFERROR(INDEX($C$9:$C$14,MATCH(Wording_Ranks!M52,$B$9:$B$14,0)),0)</f>
        <v>1</v>
      </c>
      <c r="G70" s="52" t="n">
        <f aca="false">IFERROR(INDEX($C$9:$C$14,MATCH(Wording_Ranks!O52,$B$9:$B$14,0)),0)</f>
        <v>1</v>
      </c>
    </row>
    <row r="71" customFormat="false" ht="15" hidden="false" customHeight="true" outlineLevel="0" collapsed="false">
      <c r="A71" s="40" t="n">
        <f aca="false">Wording_Ranks!A53</f>
        <v>52</v>
      </c>
      <c r="B71" s="27" t="str">
        <f aca="false">Wording_Ranks!B53</f>
        <v>Short Bowel Syndrome – Requiring Permanent Total Parenteral Nutrition</v>
      </c>
      <c r="C71" s="52" t="n">
        <f aca="false">IFERROR(INDEX($C$9:$C$14,MATCH(Wording_Ranks!F53,$B$9:$B$14,0)),0)</f>
        <v>1</v>
      </c>
      <c r="D71" s="52" t="n">
        <f aca="false">IFERROR(INDEX($C$9:$C$14,MATCH(Wording_Ranks!H53,$B$9:$B$14,0)),0)</f>
        <v>1</v>
      </c>
      <c r="E71" s="52" t="n">
        <f aca="false">IFERROR(INDEX($C$9:$C$14,MATCH(Wording_Ranks!J53,$B$9:$B$14,0)),0)</f>
        <v>1</v>
      </c>
      <c r="F71" s="52" t="n">
        <f aca="false">IFERROR(INDEX($C$9:$C$14,MATCH(Wording_Ranks!M53,$B$9:$B$14,0)),0)</f>
        <v>1</v>
      </c>
      <c r="G71" s="52" t="n">
        <f aca="false">IFERROR(INDEX($C$9:$C$14,MATCH(Wording_Ranks!O53,$B$9:$B$14,0)),0)</f>
        <v>0</v>
      </c>
    </row>
    <row r="72" customFormat="false" ht="15" hidden="false" customHeight="true" outlineLevel="0" collapsed="false">
      <c r="A72" s="40" t="n">
        <f aca="false">Wording_Ranks!A54</f>
        <v>53</v>
      </c>
      <c r="B72" s="27" t="str">
        <f aca="false">Wording_Ranks!B54</f>
        <v>Ulcerative Colitis – Treated with Total Colectomy</v>
      </c>
      <c r="C72" s="52" t="n">
        <f aca="false">IFERROR(INDEX($C$9:$C$14,MATCH(Wording_Ranks!F54,$B$9:$B$14,0)),0)</f>
        <v>0.5</v>
      </c>
      <c r="D72" s="52" t="n">
        <f aca="false">IFERROR(INDEX($C$9:$C$14,MATCH(Wording_Ranks!H54,$B$9:$B$14,0)),0)</f>
        <v>0.5</v>
      </c>
      <c r="E72" s="52" t="n">
        <f aca="false">IFERROR(INDEX($C$9:$C$14,MATCH(Wording_Ranks!J54,$B$9:$B$14,0)),0)</f>
        <v>0.5</v>
      </c>
      <c r="F72" s="52" t="n">
        <f aca="false">IFERROR(INDEX($C$9:$C$14,MATCH(Wording_Ranks!M54,$B$9:$B$14,0)),0)</f>
        <v>0.5</v>
      </c>
      <c r="G72" s="52" t="n">
        <f aca="false">IFERROR(INDEX($C$9:$C$14,MATCH(Wording_Ranks!O54,$B$9:$B$14,0)),0)</f>
        <v>0.5</v>
      </c>
    </row>
    <row r="73" customFormat="false" ht="15" hidden="false" customHeight="true" outlineLevel="0" collapsed="false">
      <c r="A73" s="40" t="n">
        <f aca="false">Wording_Ranks!A55</f>
        <v>54</v>
      </c>
      <c r="B73" s="27" t="str">
        <f aca="false">Wording_Ranks!B55</f>
        <v>Aplastic Anaemia – of Specified Severity</v>
      </c>
      <c r="C73" s="52" t="n">
        <f aca="false">IFERROR(INDEX($C$9:$C$14,MATCH(Wording_Ranks!F55,$B$9:$B$14,0)),0)</f>
        <v>1</v>
      </c>
      <c r="D73" s="52" t="n">
        <f aca="false">IFERROR(INDEX($C$9:$C$14,MATCH(Wording_Ranks!H55,$B$9:$B$14,0)),0)</f>
        <v>1</v>
      </c>
      <c r="E73" s="52" t="n">
        <f aca="false">IFERROR(INDEX($C$9:$C$14,MATCH(Wording_Ranks!J55,$B$9:$B$14,0)),0)</f>
        <v>1</v>
      </c>
      <c r="F73" s="52" t="n">
        <f aca="false">IFERROR(INDEX($C$9:$C$14,MATCH(Wording_Ranks!M55,$B$9:$B$14,0)),0)</f>
        <v>1</v>
      </c>
      <c r="G73" s="52" t="n">
        <f aca="false">IFERROR(INDEX($C$9:$C$14,MATCH(Wording_Ranks!O55,$B$9:$B$14,0)),0)</f>
        <v>1</v>
      </c>
    </row>
    <row r="74" customFormat="false" ht="15" hidden="false" customHeight="true" outlineLevel="0" collapsed="false">
      <c r="A74" s="40" t="n">
        <f aca="false">Wording_Ranks!A56</f>
        <v>55</v>
      </c>
      <c r="B74" s="27" t="str">
        <f aca="false">Wording_Ranks!B56</f>
        <v>Disseminated Intravascular Coagulation (DIC)</v>
      </c>
      <c r="C74" s="52" t="n">
        <f aca="false">IFERROR(INDEX($C$9:$C$14,MATCH(Wording_Ranks!F56,$B$9:$B$14,0)),0)</f>
        <v>0</v>
      </c>
      <c r="D74" s="52" t="n">
        <f aca="false">IFERROR(INDEX($C$9:$C$14,MATCH(Wording_Ranks!H56,$B$9:$B$14,0)),0)</f>
        <v>0.1</v>
      </c>
      <c r="E74" s="52" t="n">
        <f aca="false">IFERROR(INDEX($C$9:$C$14,MATCH(Wording_Ranks!J56,$B$9:$B$14,0)),0)</f>
        <v>0</v>
      </c>
      <c r="F74" s="52" t="n">
        <f aca="false">IFERROR(INDEX($C$9:$C$14,MATCH(Wording_Ranks!M56,$B$9:$B$14,0)),0)</f>
        <v>0</v>
      </c>
      <c r="G74" s="52" t="n">
        <f aca="false">IFERROR(INDEX($C$9:$C$14,MATCH(Wording_Ranks!O56,$B$9:$B$14,0)),0)</f>
        <v>0</v>
      </c>
    </row>
    <row r="75" customFormat="false" ht="15" hidden="false" customHeight="true" outlineLevel="0" collapsed="false">
      <c r="A75" s="40" t="n">
        <f aca="false">Wording_Ranks!A57</f>
        <v>56</v>
      </c>
      <c r="B75" s="27" t="str">
        <f aca="false">Wording_Ranks!B57</f>
        <v>Liver Failure – End Stage</v>
      </c>
      <c r="C75" s="52" t="n">
        <f aca="false">IFERROR(INDEX($C$9:$C$14,MATCH(Wording_Ranks!F57,$B$9:$B$14,0)),0)</f>
        <v>1</v>
      </c>
      <c r="D75" s="52" t="n">
        <f aca="false">IFERROR(INDEX($C$9:$C$14,MATCH(Wording_Ranks!H57,$B$9:$B$14,0)),0)</f>
        <v>1</v>
      </c>
      <c r="E75" s="52" t="n">
        <f aca="false">IFERROR(INDEX($C$9:$C$14,MATCH(Wording_Ranks!J57,$B$9:$B$14,0)),0)</f>
        <v>1</v>
      </c>
      <c r="F75" s="52" t="n">
        <f aca="false">IFERROR(INDEX($C$9:$C$14,MATCH(Wording_Ranks!M57,$B$9:$B$14,0)),0)</f>
        <v>1</v>
      </c>
      <c r="G75" s="52" t="n">
        <f aca="false">IFERROR(INDEX($C$9:$C$14,MATCH(Wording_Ranks!O57,$B$9:$B$14,0)),0)</f>
        <v>1</v>
      </c>
    </row>
    <row r="76" customFormat="false" ht="15" hidden="false" customHeight="true" outlineLevel="0" collapsed="false">
      <c r="A76" s="40" t="n">
        <f aca="false">Wording_Ranks!A58</f>
        <v>57</v>
      </c>
      <c r="B76" s="27" t="str">
        <f aca="false">Wording_Ranks!B58</f>
        <v>Liver Resection</v>
      </c>
      <c r="C76" s="52" t="n">
        <f aca="false">IFERROR(INDEX($C$9:$C$14,MATCH(Wording_Ranks!F58,$B$9:$B$14,0)),0)</f>
        <v>0.5</v>
      </c>
      <c r="D76" s="52" t="n">
        <f aca="false">IFERROR(INDEX($C$9:$C$14,MATCH(Wording_Ranks!H58,$B$9:$B$14,0)),0)</f>
        <v>0.5</v>
      </c>
      <c r="E76" s="52" t="n">
        <f aca="false">IFERROR(INDEX($C$9:$C$14,MATCH(Wording_Ranks!J58,$B$9:$B$14,0)),0)</f>
        <v>0.5</v>
      </c>
      <c r="F76" s="52" t="n">
        <f aca="false">IFERROR(INDEX($C$9:$C$14,MATCH(Wording_Ranks!M58,$B$9:$B$14,0)),0)</f>
        <v>0.5</v>
      </c>
      <c r="G76" s="52" t="n">
        <f aca="false">IFERROR(INDEX($C$9:$C$14,MATCH(Wording_Ranks!O58,$B$9:$B$14,0)),0)</f>
        <v>0.5</v>
      </c>
    </row>
    <row r="77" customFormat="false" ht="15" hidden="false" customHeight="true" outlineLevel="0" collapsed="false">
      <c r="A77" s="40" t="n">
        <f aca="false">Wording_Ranks!A59</f>
        <v>58</v>
      </c>
      <c r="B77" s="27" t="str">
        <f aca="false">Wording_Ranks!B59</f>
        <v>Primary Sclerosing Cholangitis – of Specified Severity</v>
      </c>
      <c r="C77" s="52" t="n">
        <f aca="false">IFERROR(INDEX($C$9:$C$14,MATCH(Wording_Ranks!F59,$B$9:$B$14,0)),0)</f>
        <v>1</v>
      </c>
      <c r="D77" s="52" t="n">
        <f aca="false">IFERROR(INDEX($C$9:$C$14,MATCH(Wording_Ranks!H59,$B$9:$B$14,0)),0)</f>
        <v>1</v>
      </c>
      <c r="E77" s="52" t="n">
        <f aca="false">IFERROR(INDEX($C$9:$C$14,MATCH(Wording_Ranks!J59,$B$9:$B$14,0)),0)</f>
        <v>1</v>
      </c>
      <c r="F77" s="52" t="n">
        <f aca="false">IFERROR(INDEX($C$9:$C$14,MATCH(Wording_Ranks!M59,$B$9:$B$14,0)),0)</f>
        <v>1</v>
      </c>
      <c r="G77" s="52" t="n">
        <f aca="false">IFERROR(INDEX($C$9:$C$14,MATCH(Wording_Ranks!O59,$B$9:$B$14,0)),0)</f>
        <v>0</v>
      </c>
    </row>
    <row r="78" customFormat="false" ht="15" hidden="false" customHeight="true" outlineLevel="0" collapsed="false">
      <c r="A78" s="40" t="n">
        <f aca="false">Wording_Ranks!A60</f>
        <v>59</v>
      </c>
      <c r="B78" s="27" t="str">
        <f aca="false">Wording_Ranks!B60</f>
        <v>HIV Infection (Occupational / Transfusion / Assault)</v>
      </c>
      <c r="C78" s="52" t="n">
        <f aca="false">IFERROR(INDEX($C$9:$C$14,MATCH(Wording_Ranks!F60,$B$9:$B$14,0)),0)</f>
        <v>1</v>
      </c>
      <c r="D78" s="52" t="n">
        <f aca="false">IFERROR(INDEX($C$9:$C$14,MATCH(Wording_Ranks!H60,$B$9:$B$14,0)),0)</f>
        <v>1</v>
      </c>
      <c r="E78" s="52" t="n">
        <f aca="false">IFERROR(INDEX($C$9:$C$14,MATCH(Wording_Ranks!J60,$B$9:$B$14,0)),0)</f>
        <v>1</v>
      </c>
      <c r="F78" s="52" t="n">
        <f aca="false">IFERROR(INDEX($C$9:$C$14,MATCH(Wording_Ranks!M60,$B$9:$B$14,0)),0)</f>
        <v>1</v>
      </c>
      <c r="G78" s="52" t="n">
        <f aca="false">IFERROR(INDEX($C$9:$C$14,MATCH(Wording_Ranks!O60,$B$9:$B$14,0)),0)</f>
        <v>1</v>
      </c>
    </row>
    <row r="79" customFormat="false" ht="15" hidden="false" customHeight="true" outlineLevel="0" collapsed="false">
      <c r="A79" s="40" t="n">
        <f aca="false">Wording_Ranks!A61</f>
        <v>60</v>
      </c>
      <c r="B79" s="27" t="str">
        <f aca="false">Wording_Ranks!B61</f>
        <v>Necrotising Fasciitis</v>
      </c>
      <c r="C79" s="52" t="n">
        <f aca="false">IFERROR(INDEX($C$9:$C$14,MATCH(Wording_Ranks!F61,$B$9:$B$14,0)),0)</f>
        <v>1</v>
      </c>
      <c r="D79" s="52" t="n">
        <f aca="false">IFERROR(INDEX($C$9:$C$14,MATCH(Wording_Ranks!H61,$B$9:$B$14,0)),0)</f>
        <v>1</v>
      </c>
      <c r="E79" s="52" t="n">
        <f aca="false">IFERROR(INDEX($C$9:$C$14,MATCH(Wording_Ranks!J61,$B$9:$B$14,0)),0)</f>
        <v>1</v>
      </c>
      <c r="F79" s="52" t="n">
        <f aca="false">IFERROR(INDEX($C$9:$C$14,MATCH(Wording_Ranks!M61,$B$9:$B$14,0)),0)</f>
        <v>1</v>
      </c>
      <c r="G79" s="52" t="n">
        <f aca="false">IFERROR(INDEX($C$9:$C$14,MATCH(Wording_Ranks!O61,$B$9:$B$14,0)),0)</f>
        <v>1</v>
      </c>
    </row>
    <row r="80" customFormat="false" ht="15" hidden="false" customHeight="true" outlineLevel="0" collapsed="false">
      <c r="A80" s="40" t="n">
        <f aca="false">Wording_Ranks!A62</f>
        <v>61</v>
      </c>
      <c r="B80" s="27" t="str">
        <f aca="false">Wording_Ranks!B62</f>
        <v>Severe Sepsis</v>
      </c>
      <c r="C80" s="52" t="n">
        <f aca="false">IFERROR(INDEX($C$9:$C$14,MATCH(Wording_Ranks!F62,$B$9:$B$14,0)),0)</f>
        <v>0</v>
      </c>
      <c r="D80" s="52" t="n">
        <f aca="false">IFERROR(INDEX($C$9:$C$14,MATCH(Wording_Ranks!H62,$B$9:$B$14,0)),0)</f>
        <v>0</v>
      </c>
      <c r="E80" s="52" t="n">
        <f aca="false">IFERROR(INDEX($C$9:$C$14,MATCH(Wording_Ranks!J62,$B$9:$B$14,0)),0)</f>
        <v>0.5</v>
      </c>
      <c r="F80" s="52" t="n">
        <f aca="false">IFERROR(INDEX($C$9:$C$14,MATCH(Wording_Ranks!M62,$B$9:$B$14,0)),0)</f>
        <v>1</v>
      </c>
      <c r="G80" s="52" t="n">
        <f aca="false">IFERROR(INDEX($C$9:$C$14,MATCH(Wording_Ranks!O62,$B$9:$B$14,0)),0)</f>
        <v>0</v>
      </c>
    </row>
    <row r="81" customFormat="false" ht="15" hidden="false" customHeight="true" outlineLevel="0" collapsed="false">
      <c r="A81" s="40" t="n">
        <f aca="false">Wording_Ranks!A63</f>
        <v>62</v>
      </c>
      <c r="B81" s="27" t="str">
        <f aca="false">Wording_Ranks!B63</f>
        <v>Brain Injury Due to Anoxia or Hypoxia</v>
      </c>
      <c r="C81" s="52" t="n">
        <f aca="false">IFERROR(INDEX($C$9:$C$14,MATCH(Wording_Ranks!F63,$B$9:$B$14,0)),0)</f>
        <v>1</v>
      </c>
      <c r="D81" s="52" t="n">
        <f aca="false">IFERROR(INDEX($C$9:$C$14,MATCH(Wording_Ranks!H63,$B$9:$B$14,0)),0)</f>
        <v>1</v>
      </c>
      <c r="E81" s="52" t="n">
        <f aca="false">IFERROR(INDEX($C$9:$C$14,MATCH(Wording_Ranks!J63,$B$9:$B$14,0)),0)</f>
        <v>1</v>
      </c>
      <c r="F81" s="52" t="n">
        <f aca="false">IFERROR(INDEX($C$9:$C$14,MATCH(Wording_Ranks!M63,$B$9:$B$14,0)),0)</f>
        <v>1</v>
      </c>
      <c r="G81" s="52" t="n">
        <f aca="false">IFERROR(INDEX($C$9:$C$14,MATCH(Wording_Ranks!O63,$B$9:$B$14,0)),0)</f>
        <v>1</v>
      </c>
    </row>
    <row r="82" customFormat="false" ht="15" hidden="false" customHeight="true" outlineLevel="0" collapsed="false">
      <c r="A82" s="40" t="n">
        <f aca="false">Wording_Ranks!A64</f>
        <v>63</v>
      </c>
      <c r="B82" s="27" t="str">
        <f aca="false">Wording_Ranks!B64</f>
        <v>Cauda Equina Syndrome</v>
      </c>
      <c r="C82" s="52" t="n">
        <f aca="false">IFERROR(INDEX($C$9:$C$14,MATCH(Wording_Ranks!F64,$B$9:$B$14,0)),0)</f>
        <v>0</v>
      </c>
      <c r="D82" s="52" t="n">
        <f aca="false">IFERROR(INDEX($C$9:$C$14,MATCH(Wording_Ranks!H64,$B$9:$B$14,0)),0)</f>
        <v>0</v>
      </c>
      <c r="E82" s="52" t="n">
        <f aca="false">IFERROR(INDEX($C$9:$C$14,MATCH(Wording_Ranks!J64,$B$9:$B$14,0)),0)</f>
        <v>1</v>
      </c>
      <c r="F82" s="52" t="n">
        <f aca="false">IFERROR(INDEX($C$9:$C$14,MATCH(Wording_Ranks!M64,$B$9:$B$14,0)),0)</f>
        <v>1</v>
      </c>
      <c r="G82" s="52" t="n">
        <f aca="false">IFERROR(INDEX($C$9:$C$14,MATCH(Wording_Ranks!O64,$B$9:$B$14,0)),0)</f>
        <v>0</v>
      </c>
    </row>
    <row r="83" customFormat="false" ht="15" hidden="false" customHeight="true" outlineLevel="0" collapsed="false">
      <c r="A83" s="40" t="n">
        <f aca="false">Wording_Ranks!A65</f>
        <v>64</v>
      </c>
      <c r="B83" s="27" t="str">
        <f aca="false">Wording_Ranks!B65</f>
        <v>Coma – Resulting in Permanent Symptoms</v>
      </c>
      <c r="C83" s="52" t="n">
        <f aca="false">IFERROR(INDEX($C$9:$C$14,MATCH(Wording_Ranks!F65,$B$9:$B$14,0)),0)</f>
        <v>1</v>
      </c>
      <c r="D83" s="52" t="n">
        <f aca="false">IFERROR(INDEX($C$9:$C$14,MATCH(Wording_Ranks!H65,$B$9:$B$14,0)),0)</f>
        <v>1</v>
      </c>
      <c r="E83" s="52" t="n">
        <f aca="false">IFERROR(INDEX($C$9:$C$14,MATCH(Wording_Ranks!J65,$B$9:$B$14,0)),0)</f>
        <v>1</v>
      </c>
      <c r="F83" s="52" t="n">
        <f aca="false">IFERROR(INDEX($C$9:$C$14,MATCH(Wording_Ranks!M65,$B$9:$B$14,0)),0)</f>
        <v>1</v>
      </c>
      <c r="G83" s="52" t="n">
        <f aca="false">IFERROR(INDEX($C$9:$C$14,MATCH(Wording_Ranks!O65,$B$9:$B$14,0)),0)</f>
        <v>1</v>
      </c>
    </row>
    <row r="84" customFormat="false" ht="15" hidden="false" customHeight="true" outlineLevel="0" collapsed="false">
      <c r="A84" s="40" t="n">
        <f aca="false">Wording_Ranks!A66</f>
        <v>65</v>
      </c>
      <c r="B84" s="27" t="str">
        <f aca="false">Wording_Ranks!B66</f>
        <v>Creutzfeldt-Jakob Disease (CJD)</v>
      </c>
      <c r="C84" s="52" t="n">
        <f aca="false">IFERROR(INDEX($C$9:$C$14,MATCH(Wording_Ranks!F66,$B$9:$B$14,0)),0)</f>
        <v>1</v>
      </c>
      <c r="D84" s="52" t="n">
        <f aca="false">IFERROR(INDEX($C$9:$C$14,MATCH(Wording_Ranks!H66,$B$9:$B$14,0)),0)</f>
        <v>1</v>
      </c>
      <c r="E84" s="52" t="n">
        <f aca="false">IFERROR(INDEX($C$9:$C$14,MATCH(Wording_Ranks!J66,$B$9:$B$14,0)),0)</f>
        <v>1</v>
      </c>
      <c r="F84" s="52" t="n">
        <f aca="false">IFERROR(INDEX($C$9:$C$14,MATCH(Wording_Ranks!M66,$B$9:$B$14,0)),0)</f>
        <v>1</v>
      </c>
      <c r="G84" s="52" t="n">
        <f aca="false">IFERROR(INDEX($C$9:$C$14,MATCH(Wording_Ranks!O66,$B$9:$B$14,0)),0)</f>
        <v>1</v>
      </c>
    </row>
    <row r="85" customFormat="false" ht="15" hidden="false" customHeight="true" outlineLevel="0" collapsed="false">
      <c r="A85" s="40" t="n">
        <f aca="false">Wording_Ranks!A67</f>
        <v>66</v>
      </c>
      <c r="B85" s="27" t="str">
        <f aca="false">Wording_Ranks!B67</f>
        <v>Drug-Resistant Epilepsy</v>
      </c>
      <c r="C85" s="52" t="n">
        <f aca="false">IFERROR(INDEX($C$9:$C$14,MATCH(Wording_Ranks!F67,$B$9:$B$14,0)),0)</f>
        <v>0</v>
      </c>
      <c r="D85" s="52" t="n">
        <f aca="false">IFERROR(INDEX($C$9:$C$14,MATCH(Wording_Ranks!H67,$B$9:$B$14,0)),0)</f>
        <v>0</v>
      </c>
      <c r="E85" s="52" t="n">
        <f aca="false">IFERROR(INDEX($C$9:$C$14,MATCH(Wording_Ranks!J67,$B$9:$B$14,0)),0)</f>
        <v>0</v>
      </c>
      <c r="F85" s="52" t="n">
        <f aca="false">IFERROR(INDEX($C$9:$C$14,MATCH(Wording_Ranks!M67,$B$9:$B$14,0)),0)</f>
        <v>1</v>
      </c>
      <c r="G85" s="52" t="n">
        <f aca="false">IFERROR(INDEX($C$9:$C$14,MATCH(Wording_Ranks!O67,$B$9:$B$14,0)),0)</f>
        <v>0</v>
      </c>
    </row>
    <row r="86" customFormat="false" ht="15" hidden="false" customHeight="true" outlineLevel="0" collapsed="false">
      <c r="A86" s="40" t="n">
        <f aca="false">Wording_Ranks!A68</f>
        <v>67</v>
      </c>
      <c r="B86" s="27" t="str">
        <f aca="false">Wording_Ranks!B68</f>
        <v>Guillain-Barré Syndrome</v>
      </c>
      <c r="C86" s="52" t="n">
        <f aca="false">IFERROR(INDEX($C$9:$C$14,MATCH(Wording_Ranks!F68,$B$9:$B$14,0)),0)</f>
        <v>0</v>
      </c>
      <c r="D86" s="52" t="n">
        <f aca="false">IFERROR(INDEX($C$9:$C$14,MATCH(Wording_Ranks!H68,$B$9:$B$14,0)),0)</f>
        <v>0</v>
      </c>
      <c r="E86" s="52" t="n">
        <f aca="false">IFERROR(INDEX($C$9:$C$14,MATCH(Wording_Ranks!J68,$B$9:$B$14,0)),0)</f>
        <v>0</v>
      </c>
      <c r="F86" s="52" t="n">
        <f aca="false">IFERROR(INDEX($C$9:$C$14,MATCH(Wording_Ranks!M68,$B$9:$B$14,0)),0)</f>
        <v>0.5</v>
      </c>
      <c r="G86" s="52" t="n">
        <f aca="false">IFERROR(INDEX($C$9:$C$14,MATCH(Wording_Ranks!O68,$B$9:$B$14,0)),0)</f>
        <v>0</v>
      </c>
    </row>
    <row r="87" customFormat="false" ht="15" hidden="false" customHeight="true" outlineLevel="0" collapsed="false">
      <c r="A87" s="40" t="n">
        <f aca="false">Wording_Ranks!A69</f>
        <v>68</v>
      </c>
      <c r="B87" s="27" t="str">
        <f aca="false">Wording_Ranks!B69</f>
        <v>Motor Neurone Disease – Resulting in Permanent Symptoms</v>
      </c>
      <c r="C87" s="52" t="n">
        <f aca="false">IFERROR(INDEX($C$9:$C$14,MATCH(Wording_Ranks!F69,$B$9:$B$14,0)),0)</f>
        <v>1</v>
      </c>
      <c r="D87" s="52" t="n">
        <f aca="false">IFERROR(INDEX($C$9:$C$14,MATCH(Wording_Ranks!H69,$B$9:$B$14,0)),0)</f>
        <v>1</v>
      </c>
      <c r="E87" s="52" t="n">
        <f aca="false">IFERROR(INDEX($C$9:$C$14,MATCH(Wording_Ranks!J69,$B$9:$B$14,0)),0)</f>
        <v>1</v>
      </c>
      <c r="F87" s="52" t="n">
        <f aca="false">IFERROR(INDEX($C$9:$C$14,MATCH(Wording_Ranks!M69,$B$9:$B$14,0)),0)</f>
        <v>1</v>
      </c>
      <c r="G87" s="52" t="n">
        <f aca="false">IFERROR(INDEX($C$9:$C$14,MATCH(Wording_Ranks!O69,$B$9:$B$14,0)),0)</f>
        <v>1</v>
      </c>
    </row>
    <row r="88" customFormat="false" ht="15" hidden="false" customHeight="true" outlineLevel="0" collapsed="false">
      <c r="A88" s="40" t="n">
        <f aca="false">Wording_Ranks!A70</f>
        <v>69</v>
      </c>
      <c r="B88" s="27" t="str">
        <f aca="false">Wording_Ranks!B70</f>
        <v>Multiple Sclerosis (incl. NMO/Devic's Disease) – with Persisting Symptoms</v>
      </c>
      <c r="C88" s="52" t="n">
        <f aca="false">IFERROR(INDEX($C$9:$C$14,MATCH(Wording_Ranks!F70,$B$9:$B$14,0)),0)</f>
        <v>1</v>
      </c>
      <c r="D88" s="52" t="n">
        <f aca="false">IFERROR(INDEX($C$9:$C$14,MATCH(Wording_Ranks!H70,$B$9:$B$14,0)),0)</f>
        <v>1</v>
      </c>
      <c r="E88" s="52" t="n">
        <f aca="false">IFERROR(INDEX($C$9:$C$14,MATCH(Wording_Ranks!J70,$B$9:$B$14,0)),0)</f>
        <v>1</v>
      </c>
      <c r="F88" s="52" t="n">
        <f aca="false">IFERROR(INDEX($C$9:$C$14,MATCH(Wording_Ranks!M70,$B$9:$B$14,0)),0)</f>
        <v>1</v>
      </c>
      <c r="G88" s="52" t="n">
        <f aca="false">IFERROR(INDEX($C$9:$C$14,MATCH(Wording_Ranks!O70,$B$9:$B$14,0)),0)</f>
        <v>1</v>
      </c>
    </row>
    <row r="89" customFormat="false" ht="15" hidden="false" customHeight="true" outlineLevel="0" collapsed="false">
      <c r="A89" s="40" t="n">
        <f aca="false">Wording_Ranks!A71</f>
        <v>70</v>
      </c>
      <c r="B89" s="27" t="str">
        <f aca="false">Wording_Ranks!B71</f>
        <v>Multiple System Atrophy</v>
      </c>
      <c r="C89" s="52" t="n">
        <f aca="false">IFERROR(INDEX($C$9:$C$14,MATCH(Wording_Ranks!F71,$B$9:$B$14,0)),0)</f>
        <v>1</v>
      </c>
      <c r="D89" s="52" t="n">
        <f aca="false">IFERROR(INDEX($C$9:$C$14,MATCH(Wording_Ranks!H71,$B$9:$B$14,0)),0)</f>
        <v>0</v>
      </c>
      <c r="E89" s="52" t="n">
        <f aca="false">IFERROR(INDEX($C$9:$C$14,MATCH(Wording_Ranks!J71,$B$9:$B$14,0)),0)</f>
        <v>1</v>
      </c>
      <c r="F89" s="52" t="n">
        <f aca="false">IFERROR(INDEX($C$9:$C$14,MATCH(Wording_Ranks!M71,$B$9:$B$14,0)),0)</f>
        <v>0</v>
      </c>
      <c r="G89" s="52" t="n">
        <f aca="false">IFERROR(INDEX($C$9:$C$14,MATCH(Wording_Ranks!O71,$B$9:$B$14,0)),0)</f>
        <v>0</v>
      </c>
    </row>
    <row r="90" customFormat="false" ht="15" hidden="false" customHeight="true" outlineLevel="0" collapsed="false">
      <c r="A90" s="40" t="n">
        <f aca="false">Wording_Ranks!A72</f>
        <v>71</v>
      </c>
      <c r="B90" s="27" t="str">
        <f aca="false">Wording_Ranks!B72</f>
        <v>Muscular Dystrophy</v>
      </c>
      <c r="C90" s="52" t="n">
        <f aca="false">IFERROR(INDEX($C$9:$C$14,MATCH(Wording_Ranks!F72,$B$9:$B$14,0)),0)</f>
        <v>0</v>
      </c>
      <c r="D90" s="52" t="n">
        <f aca="false">IFERROR(INDEX($C$9:$C$14,MATCH(Wording_Ranks!H72,$B$9:$B$14,0)),0)</f>
        <v>0</v>
      </c>
      <c r="E90" s="52" t="n">
        <f aca="false">IFERROR(INDEX($C$9:$C$14,MATCH(Wording_Ranks!J72,$B$9:$B$14,0)),0)</f>
        <v>1</v>
      </c>
      <c r="F90" s="52" t="n">
        <f aca="false">IFERROR(INDEX($C$9:$C$14,MATCH(Wording_Ranks!M72,$B$9:$B$14,0)),0)</f>
        <v>1</v>
      </c>
      <c r="G90" s="52" t="n">
        <f aca="false">IFERROR(INDEX($C$9:$C$14,MATCH(Wording_Ranks!O72,$B$9:$B$14,0)),0)</f>
        <v>0</v>
      </c>
    </row>
    <row r="91" customFormat="false" ht="15" hidden="false" customHeight="true" outlineLevel="0" collapsed="false">
      <c r="A91" s="40" t="n">
        <f aca="false">Wording_Ranks!A73</f>
        <v>72</v>
      </c>
      <c r="B91" s="27" t="str">
        <f aca="false">Wording_Ranks!B73</f>
        <v>Myasthenia Gravis</v>
      </c>
      <c r="C91" s="52" t="n">
        <f aca="false">IFERROR(INDEX($C$9:$C$14,MATCH(Wording_Ranks!F73,$B$9:$B$14,0)),0)</f>
        <v>0</v>
      </c>
      <c r="D91" s="52" t="n">
        <f aca="false">IFERROR(INDEX($C$9:$C$14,MATCH(Wording_Ranks!H73,$B$9:$B$14,0)),0)</f>
        <v>0</v>
      </c>
      <c r="E91" s="52" t="n">
        <f aca="false">IFERROR(INDEX($C$9:$C$14,MATCH(Wording_Ranks!J73,$B$9:$B$14,0)),0)</f>
        <v>1</v>
      </c>
      <c r="F91" s="52" t="n">
        <f aca="false">IFERROR(INDEX($C$9:$C$14,MATCH(Wording_Ranks!M73,$B$9:$B$14,0)),0)</f>
        <v>1</v>
      </c>
      <c r="G91" s="52" t="n">
        <f aca="false">IFERROR(INDEX($C$9:$C$14,MATCH(Wording_Ranks!O73,$B$9:$B$14,0)),0)</f>
        <v>0</v>
      </c>
    </row>
    <row r="92" customFormat="false" ht="15" hidden="false" customHeight="true" outlineLevel="0" collapsed="false">
      <c r="A92" s="40" t="n">
        <f aca="false">Wording_Ranks!A74</f>
        <v>73</v>
      </c>
      <c r="B92" s="27" t="str">
        <f aca="false">Wording_Ranks!B74</f>
        <v>Parkinson Plus Syndromes</v>
      </c>
      <c r="C92" s="52" t="n">
        <f aca="false">IFERROR(INDEX($C$9:$C$14,MATCH(Wording_Ranks!F74,$B$9:$B$14,0)),0)</f>
        <v>1</v>
      </c>
      <c r="D92" s="52" t="n">
        <f aca="false">IFERROR(INDEX($C$9:$C$14,MATCH(Wording_Ranks!H74,$B$9:$B$14,0)),0)</f>
        <v>1</v>
      </c>
      <c r="E92" s="52" t="n">
        <f aca="false">IFERROR(INDEX($C$9:$C$14,MATCH(Wording_Ranks!J74,$B$9:$B$14,0)),0)</f>
        <v>1</v>
      </c>
      <c r="F92" s="52" t="n">
        <f aca="false">IFERROR(INDEX($C$9:$C$14,MATCH(Wording_Ranks!M74,$B$9:$B$14,0)),0)</f>
        <v>1</v>
      </c>
      <c r="G92" s="52" t="n">
        <f aca="false">IFERROR(INDEX($C$9:$C$14,MATCH(Wording_Ranks!O74,$B$9:$B$14,0)),0)</f>
        <v>1</v>
      </c>
    </row>
    <row r="93" customFormat="false" ht="15" hidden="false" customHeight="true" outlineLevel="0" collapsed="false">
      <c r="A93" s="40" t="n">
        <f aca="false">Wording_Ranks!A75</f>
        <v>74</v>
      </c>
      <c r="B93" s="27" t="str">
        <f aca="false">Wording_Ranks!B75</f>
        <v>Parkinson's Disease – Resulting in Permanent Symptoms</v>
      </c>
      <c r="C93" s="52" t="n">
        <f aca="false">IFERROR(INDEX($C$9:$C$14,MATCH(Wording_Ranks!F75,$B$9:$B$14,0)),0)</f>
        <v>1</v>
      </c>
      <c r="D93" s="52" t="n">
        <f aca="false">IFERROR(INDEX($C$9:$C$14,MATCH(Wording_Ranks!H75,$B$9:$B$14,0)),0)</f>
        <v>1</v>
      </c>
      <c r="E93" s="52" t="n">
        <f aca="false">IFERROR(INDEX($C$9:$C$14,MATCH(Wording_Ranks!J75,$B$9:$B$14,0)),0)</f>
        <v>1</v>
      </c>
      <c r="F93" s="52" t="n">
        <f aca="false">IFERROR(INDEX($C$9:$C$14,MATCH(Wording_Ranks!M75,$B$9:$B$14,0)),0)</f>
        <v>1</v>
      </c>
      <c r="G93" s="52" t="n">
        <f aca="false">IFERROR(INDEX($C$9:$C$14,MATCH(Wording_Ranks!O75,$B$9:$B$14,0)),0)</f>
        <v>1</v>
      </c>
    </row>
    <row r="94" customFormat="false" ht="15" hidden="false" customHeight="true" outlineLevel="0" collapsed="false">
      <c r="A94" s="40" t="n">
        <f aca="false">Wording_Ranks!A76</f>
        <v>75</v>
      </c>
      <c r="B94" s="27" t="str">
        <f aca="false">Wording_Ranks!B76</f>
        <v>Progressive Supranuclear Palsy</v>
      </c>
      <c r="C94" s="52" t="n">
        <f aca="false">IFERROR(INDEX($C$9:$C$14,MATCH(Wording_Ranks!F76,$B$9:$B$14,0)),0)</f>
        <v>1</v>
      </c>
      <c r="D94" s="52" t="n">
        <f aca="false">IFERROR(INDEX($C$9:$C$14,MATCH(Wording_Ranks!H76,$B$9:$B$14,0)),0)</f>
        <v>0</v>
      </c>
      <c r="E94" s="52" t="n">
        <f aca="false">IFERROR(INDEX($C$9:$C$14,MATCH(Wording_Ranks!J76,$B$9:$B$14,0)),0)</f>
        <v>1</v>
      </c>
      <c r="F94" s="52" t="n">
        <f aca="false">IFERROR(INDEX($C$9:$C$14,MATCH(Wording_Ranks!M76,$B$9:$B$14,0)),0)</f>
        <v>0</v>
      </c>
      <c r="G94" s="52" t="n">
        <f aca="false">IFERROR(INDEX($C$9:$C$14,MATCH(Wording_Ranks!O76,$B$9:$B$14,0)),0)</f>
        <v>0</v>
      </c>
    </row>
    <row r="95" customFormat="false" ht="15" hidden="false" customHeight="true" outlineLevel="0" collapsed="false">
      <c r="A95" s="40" t="n">
        <f aca="false">Wording_Ranks!A77</f>
        <v>76</v>
      </c>
      <c r="B95" s="27" t="str">
        <f aca="false">Wording_Ranks!B77</f>
        <v>Syringomyelia or Syringobulbia</v>
      </c>
      <c r="C95" s="52" t="n">
        <f aca="false">IFERROR(INDEX($C$9:$C$14,MATCH(Wording_Ranks!F77,$B$9:$B$14,0)),0)</f>
        <v>0.5</v>
      </c>
      <c r="D95" s="52" t="n">
        <f aca="false">IFERROR(INDEX($C$9:$C$14,MATCH(Wording_Ranks!H77,$B$9:$B$14,0)),0)</f>
        <v>0.5</v>
      </c>
      <c r="E95" s="52" t="n">
        <f aca="false">IFERROR(INDEX($C$9:$C$14,MATCH(Wording_Ranks!J77,$B$9:$B$14,0)),0)</f>
        <v>1</v>
      </c>
      <c r="F95" s="52" t="n">
        <f aca="false">IFERROR(INDEX($C$9:$C$14,MATCH(Wording_Ranks!M77,$B$9:$B$14,0)),0)</f>
        <v>1</v>
      </c>
      <c r="G95" s="52" t="n">
        <f aca="false">IFERROR(INDEX($C$9:$C$14,MATCH(Wording_Ranks!O77,$B$9:$B$14,0)),0)</f>
        <v>0.5</v>
      </c>
    </row>
    <row r="96" customFormat="false" ht="15" hidden="false" customHeight="true" outlineLevel="0" collapsed="false">
      <c r="A96" s="40" t="n">
        <f aca="false">Wording_Ranks!A78</f>
        <v>77</v>
      </c>
      <c r="B96" s="27" t="str">
        <f aca="false">Wording_Ranks!B78</f>
        <v>Cerebral Palsy</v>
      </c>
      <c r="C96" s="52" t="n">
        <f aca="false">IFERROR(INDEX($C$9:$C$14,MATCH(Wording_Ranks!F78,$B$9:$B$14,0)),0)</f>
        <v>0</v>
      </c>
      <c r="D96" s="52" t="n">
        <f aca="false">IFERROR(INDEX($C$9:$C$14,MATCH(Wording_Ranks!H78,$B$9:$B$14,0)),0)</f>
        <v>0</v>
      </c>
      <c r="E96" s="52" t="n">
        <f aca="false">IFERROR(INDEX($C$9:$C$14,MATCH(Wording_Ranks!J78,$B$9:$B$14,0)),0)</f>
        <v>0</v>
      </c>
      <c r="F96" s="52" t="n">
        <f aca="false">IFERROR(INDEX($C$9:$C$14,MATCH(Wording_Ranks!M78,$B$9:$B$14,0)),0)</f>
        <v>0</v>
      </c>
      <c r="G96" s="52" t="n">
        <f aca="false">IFERROR(INDEX($C$9:$C$14,MATCH(Wording_Ranks!O78,$B$9:$B$14,0)),0)</f>
        <v>0</v>
      </c>
    </row>
    <row r="97" customFormat="false" ht="15" hidden="false" customHeight="true" outlineLevel="0" collapsed="false">
      <c r="A97" s="40" t="n">
        <f aca="false">Wording_Ranks!A79</f>
        <v>78</v>
      </c>
      <c r="B97" s="27" t="str">
        <f aca="false">Wording_Ranks!B79</f>
        <v>Spina Bifida</v>
      </c>
      <c r="C97" s="52" t="n">
        <f aca="false">IFERROR(INDEX($C$9:$C$14,MATCH(Wording_Ranks!F79,$B$9:$B$14,0)),0)</f>
        <v>0</v>
      </c>
      <c r="D97" s="52" t="n">
        <f aca="false">IFERROR(INDEX($C$9:$C$14,MATCH(Wording_Ranks!H79,$B$9:$B$14,0)),0)</f>
        <v>0</v>
      </c>
      <c r="E97" s="52" t="n">
        <f aca="false">IFERROR(INDEX($C$9:$C$14,MATCH(Wording_Ranks!J79,$B$9:$B$14,0)),0)</f>
        <v>0</v>
      </c>
      <c r="F97" s="52" t="n">
        <f aca="false">IFERROR(INDEX($C$9:$C$14,MATCH(Wording_Ranks!M79,$B$9:$B$14,0)),0)</f>
        <v>0</v>
      </c>
      <c r="G97" s="52" t="n">
        <f aca="false">IFERROR(INDEX($C$9:$C$14,MATCH(Wording_Ranks!O79,$B$9:$B$14,0)),0)</f>
        <v>0</v>
      </c>
    </row>
    <row r="98" customFormat="false" ht="15" hidden="false" customHeight="true" outlineLevel="0" collapsed="false">
      <c r="A98" s="40" t="n">
        <f aca="false">Wording_Ranks!A80</f>
        <v>79</v>
      </c>
      <c r="B98" s="27" t="str">
        <f aca="false">Wording_Ranks!B80</f>
        <v>Alzheimer's Disease / Dementia – Resulting in Permanent Symptoms</v>
      </c>
      <c r="C98" s="52" t="n">
        <f aca="false">IFERROR(INDEX($C$9:$C$14,MATCH(Wording_Ranks!F80,$B$9:$B$14,0)),0)</f>
        <v>1</v>
      </c>
      <c r="D98" s="52" t="n">
        <f aca="false">IFERROR(INDEX($C$9:$C$14,MATCH(Wording_Ranks!H80,$B$9:$B$14,0)),0)</f>
        <v>1</v>
      </c>
      <c r="E98" s="52" t="n">
        <f aca="false">IFERROR(INDEX($C$9:$C$14,MATCH(Wording_Ranks!J80,$B$9:$B$14,0)),0)</f>
        <v>1</v>
      </c>
      <c r="F98" s="52" t="n">
        <f aca="false">IFERROR(INDEX($C$9:$C$14,MATCH(Wording_Ranks!M80,$B$9:$B$14,0)),0)</f>
        <v>1</v>
      </c>
      <c r="G98" s="52" t="n">
        <f aca="false">IFERROR(INDEX($C$9:$C$14,MATCH(Wording_Ranks!O80,$B$9:$B$14,0)),0)</f>
        <v>1</v>
      </c>
    </row>
    <row r="99" customFormat="false" ht="15" hidden="false" customHeight="true" outlineLevel="0" collapsed="false">
      <c r="A99" s="40" t="n">
        <f aca="false">Wording_Ranks!A81</f>
        <v>80</v>
      </c>
      <c r="B99" s="27" t="str">
        <f aca="false">Wording_Ranks!B81</f>
        <v>Bacterial Meningitis – Resulting in Permanent Symptoms</v>
      </c>
      <c r="C99" s="52" t="n">
        <f aca="false">IFERROR(INDEX($C$9:$C$14,MATCH(Wording_Ranks!F81,$B$9:$B$14,0)),0)</f>
        <v>1</v>
      </c>
      <c r="D99" s="52" t="n">
        <f aca="false">IFERROR(INDEX($C$9:$C$14,MATCH(Wording_Ranks!H81,$B$9:$B$14,0)),0)</f>
        <v>1</v>
      </c>
      <c r="E99" s="52" t="n">
        <f aca="false">IFERROR(INDEX($C$9:$C$14,MATCH(Wording_Ranks!J81,$B$9:$B$14,0)),0)</f>
        <v>1</v>
      </c>
      <c r="F99" s="52" t="n">
        <f aca="false">IFERROR(INDEX($C$9:$C$14,MATCH(Wording_Ranks!M81,$B$9:$B$14,0)),0)</f>
        <v>1</v>
      </c>
      <c r="G99" s="52" t="n">
        <f aca="false">IFERROR(INDEX($C$9:$C$14,MATCH(Wording_Ranks!O81,$B$9:$B$14,0)),0)</f>
        <v>1</v>
      </c>
    </row>
    <row r="100" customFormat="false" ht="15" hidden="false" customHeight="true" outlineLevel="0" collapsed="false">
      <c r="A100" s="40" t="n">
        <f aca="false">Wording_Ranks!A82</f>
        <v>81</v>
      </c>
      <c r="B100" s="27" t="str">
        <f aca="false">Wording_Ranks!B82</f>
        <v>Brain Abscess – Drained via Craniotomy</v>
      </c>
      <c r="C100" s="52" t="n">
        <f aca="false">IFERROR(INDEX($C$9:$C$14,MATCH(Wording_Ranks!F82,$B$9:$B$14,0)),0)</f>
        <v>0.5</v>
      </c>
      <c r="D100" s="52" t="n">
        <f aca="false">IFERROR(INDEX($C$9:$C$14,MATCH(Wording_Ranks!H82,$B$9:$B$14,0)),0)</f>
        <v>0.5</v>
      </c>
      <c r="E100" s="52" t="n">
        <f aca="false">IFERROR(INDEX($C$9:$C$14,MATCH(Wording_Ranks!J82,$B$9:$B$14,0)),0)</f>
        <v>1</v>
      </c>
      <c r="F100" s="52" t="n">
        <f aca="false">IFERROR(INDEX($C$9:$C$14,MATCH(Wording_Ranks!M82,$B$9:$B$14,0)),0)</f>
        <v>1</v>
      </c>
      <c r="G100" s="52" t="n">
        <f aca="false">IFERROR(INDEX($C$9:$C$14,MATCH(Wording_Ranks!O82,$B$9:$B$14,0)),0)</f>
        <v>0.5</v>
      </c>
    </row>
    <row r="101" customFormat="false" ht="15" hidden="false" customHeight="true" outlineLevel="0" collapsed="false">
      <c r="A101" s="40" t="n">
        <f aca="false">Wording_Ranks!A83</f>
        <v>82</v>
      </c>
      <c r="B101" s="27" t="str">
        <f aca="false">Wording_Ranks!B83</f>
        <v>Encephalitis – Resulting in Permanent Symptoms</v>
      </c>
      <c r="C101" s="52" t="n">
        <f aca="false">IFERROR(INDEX($C$9:$C$14,MATCH(Wording_Ranks!F83,$B$9:$B$14,0)),0)</f>
        <v>1</v>
      </c>
      <c r="D101" s="52" t="n">
        <f aca="false">IFERROR(INDEX($C$9:$C$14,MATCH(Wording_Ranks!H83,$B$9:$B$14,0)),0)</f>
        <v>1</v>
      </c>
      <c r="E101" s="52" t="n">
        <f aca="false">IFERROR(INDEX($C$9:$C$14,MATCH(Wording_Ranks!J83,$B$9:$B$14,0)),0)</f>
        <v>1</v>
      </c>
      <c r="F101" s="52" t="n">
        <f aca="false">IFERROR(INDEX($C$9:$C$14,MATCH(Wording_Ranks!M83,$B$9:$B$14,0)),0)</f>
        <v>1</v>
      </c>
      <c r="G101" s="52" t="n">
        <f aca="false">IFERROR(INDEX($C$9:$C$14,MATCH(Wording_Ranks!O83,$B$9:$B$14,0)),0)</f>
        <v>1</v>
      </c>
    </row>
    <row r="102" customFormat="false" ht="15" hidden="false" customHeight="true" outlineLevel="0" collapsed="false">
      <c r="A102" s="40" t="n">
        <f aca="false">Wording_Ranks!A84</f>
        <v>83</v>
      </c>
      <c r="B102" s="27" t="str">
        <f aca="false">Wording_Ranks!B84</f>
        <v>Benign Brain Tumour – of Specified Severity</v>
      </c>
      <c r="C102" s="52" t="n">
        <f aca="false">IFERROR(INDEX($C$9:$C$14,MATCH(Wording_Ranks!F84,$B$9:$B$14,0)),0)</f>
        <v>1</v>
      </c>
      <c r="D102" s="52" t="n">
        <f aca="false">IFERROR(INDEX($C$9:$C$14,MATCH(Wording_Ranks!H84,$B$9:$B$14,0)),0)</f>
        <v>1</v>
      </c>
      <c r="E102" s="52" t="n">
        <f aca="false">IFERROR(INDEX($C$9:$C$14,MATCH(Wording_Ranks!J84,$B$9:$B$14,0)),0)</f>
        <v>1</v>
      </c>
      <c r="F102" s="52" t="n">
        <f aca="false">IFERROR(INDEX($C$9:$C$14,MATCH(Wording_Ranks!M84,$B$9:$B$14,0)),0)</f>
        <v>1</v>
      </c>
      <c r="G102" s="52" t="n">
        <f aca="false">IFERROR(INDEX($C$9:$C$14,MATCH(Wording_Ranks!O84,$B$9:$B$14,0)),0)</f>
        <v>1</v>
      </c>
    </row>
    <row r="103" customFormat="false" ht="15" hidden="false" customHeight="true" outlineLevel="0" collapsed="false">
      <c r="A103" s="40" t="n">
        <f aca="false">Wording_Ranks!A85</f>
        <v>84</v>
      </c>
      <c r="B103" s="27" t="str">
        <f aca="false">Wording_Ranks!B85</f>
        <v>Benign Spinal Cord Tumour</v>
      </c>
      <c r="C103" s="52" t="n">
        <f aca="false">IFERROR(INDEX($C$9:$C$14,MATCH(Wording_Ranks!F85,$B$9:$B$14,0)),0)</f>
        <v>1</v>
      </c>
      <c r="D103" s="52" t="n">
        <f aca="false">IFERROR(INDEX($C$9:$C$14,MATCH(Wording_Ranks!H85,$B$9:$B$14,0)),0)</f>
        <v>1</v>
      </c>
      <c r="E103" s="52" t="n">
        <f aca="false">IFERROR(INDEX($C$9:$C$14,MATCH(Wording_Ranks!J85,$B$9:$B$14,0)),0)</f>
        <v>1</v>
      </c>
      <c r="F103" s="52" t="n">
        <f aca="false">IFERROR(INDEX($C$9:$C$14,MATCH(Wording_Ranks!M85,$B$9:$B$14,0)),0)</f>
        <v>1</v>
      </c>
      <c r="G103" s="52" t="n">
        <f aca="false">IFERROR(INDEX($C$9:$C$14,MATCH(Wording_Ranks!O85,$B$9:$B$14,0)),0)</f>
        <v>1</v>
      </c>
    </row>
    <row r="104" customFormat="false" ht="15" hidden="false" customHeight="true" outlineLevel="0" collapsed="false">
      <c r="A104" s="40" t="n">
        <f aca="false">Wording_Ranks!A86</f>
        <v>85</v>
      </c>
      <c r="B104" s="27" t="str">
        <f aca="false">Wording_Ranks!B86</f>
        <v>Pituitary Gland Tumour</v>
      </c>
      <c r="C104" s="52" t="n">
        <f aca="false">IFERROR(INDEX($C$9:$C$14,MATCH(Wording_Ranks!F86,$B$9:$B$14,0)),0)</f>
        <v>0.5</v>
      </c>
      <c r="D104" s="52" t="n">
        <f aca="false">IFERROR(INDEX($C$9:$C$14,MATCH(Wording_Ranks!H86,$B$9:$B$14,0)),0)</f>
        <v>0.5</v>
      </c>
      <c r="E104" s="52" t="n">
        <f aca="false">IFERROR(INDEX($C$9:$C$14,MATCH(Wording_Ranks!J86,$B$9:$B$14,0)),0)</f>
        <v>0.5</v>
      </c>
      <c r="F104" s="52" t="n">
        <f aca="false">IFERROR(INDEX($C$9:$C$14,MATCH(Wording_Ranks!M86,$B$9:$B$14,0)),0)</f>
        <v>0.5</v>
      </c>
      <c r="G104" s="52" t="n">
        <f aca="false">IFERROR(INDEX($C$9:$C$14,MATCH(Wording_Ranks!O86,$B$9:$B$14,0)),0)</f>
        <v>0.5</v>
      </c>
    </row>
    <row r="105" customFormat="false" ht="15" hidden="false" customHeight="true" outlineLevel="0" collapsed="false">
      <c r="A105" s="40" t="n">
        <f aca="false">Wording_Ranks!A87</f>
        <v>86</v>
      </c>
      <c r="B105" s="27" t="str">
        <f aca="false">Wording_Ranks!B87</f>
        <v>Traumatic Brain / Head Injury – Resulting in Permanent Symptoms</v>
      </c>
      <c r="C105" s="52" t="n">
        <f aca="false">IFERROR(INDEX($C$9:$C$14,MATCH(Wording_Ranks!F87,$B$9:$B$14,0)),0)</f>
        <v>1</v>
      </c>
      <c r="D105" s="52" t="n">
        <f aca="false">IFERROR(INDEX($C$9:$C$14,MATCH(Wording_Ranks!H87,$B$9:$B$14,0)),0)</f>
        <v>1</v>
      </c>
      <c r="E105" s="52" t="n">
        <f aca="false">IFERROR(INDEX($C$9:$C$14,MATCH(Wording_Ranks!J87,$B$9:$B$14,0)),0)</f>
        <v>1</v>
      </c>
      <c r="F105" s="52" t="n">
        <f aca="false">IFERROR(INDEX($C$9:$C$14,MATCH(Wording_Ranks!M87,$B$9:$B$14,0)),0)</f>
        <v>1</v>
      </c>
      <c r="G105" s="52" t="n">
        <f aca="false">IFERROR(INDEX($C$9:$C$14,MATCH(Wording_Ranks!O87,$B$9:$B$14,0)),0)</f>
        <v>1</v>
      </c>
    </row>
    <row r="106" customFormat="false" ht="15" hidden="false" customHeight="true" outlineLevel="0" collapsed="false">
      <c r="A106" s="40" t="n">
        <f aca="false">Wording_Ranks!A88</f>
        <v>87</v>
      </c>
      <c r="B106" s="27" t="str">
        <f aca="false">Wording_Ranks!B88</f>
        <v>Cancer (Invasive) – Excluding Less Advanced Cases</v>
      </c>
      <c r="C106" s="52" t="n">
        <f aca="false">IFERROR(INDEX($C$9:$C$14,MATCH(Wording_Ranks!F88,$B$9:$B$14,0)),0)</f>
        <v>1</v>
      </c>
      <c r="D106" s="52" t="n">
        <f aca="false">IFERROR(INDEX($C$9:$C$14,MATCH(Wording_Ranks!H88,$B$9:$B$14,0)),0)</f>
        <v>1</v>
      </c>
      <c r="E106" s="52" t="n">
        <f aca="false">IFERROR(INDEX($C$9:$C$14,MATCH(Wording_Ranks!J88,$B$9:$B$14,0)),0)</f>
        <v>1</v>
      </c>
      <c r="F106" s="52" t="n">
        <f aca="false">IFERROR(INDEX($C$9:$C$14,MATCH(Wording_Ranks!M88,$B$9:$B$14,0)),0)</f>
        <v>1</v>
      </c>
      <c r="G106" s="52" t="n">
        <f aca="false">IFERROR(INDEX($C$9:$C$14,MATCH(Wording_Ranks!O88,$B$9:$B$14,0)),0)</f>
        <v>1</v>
      </c>
    </row>
    <row r="107" customFormat="false" ht="15" hidden="false" customHeight="true" outlineLevel="0" collapsed="false">
      <c r="A107" s="40" t="n">
        <f aca="false">Wording_Ranks!A89</f>
        <v>88</v>
      </c>
      <c r="B107" s="27" t="str">
        <f aca="false">Wording_Ranks!B89</f>
        <v>Carcinoma in Situ – Anus</v>
      </c>
      <c r="C107" s="52" t="n">
        <f aca="false">IFERROR(INDEX($C$9:$C$14,MATCH(Wording_Ranks!F89,$B$9:$B$14,0)),0)</f>
        <v>0.5</v>
      </c>
      <c r="D107" s="52" t="n">
        <f aca="false">IFERROR(INDEX($C$9:$C$14,MATCH(Wording_Ranks!H89,$B$9:$B$14,0)),0)</f>
        <v>0.5</v>
      </c>
      <c r="E107" s="52" t="n">
        <f aca="false">IFERROR(INDEX($C$9:$C$14,MATCH(Wording_Ranks!J89,$B$9:$B$14,0)),0)</f>
        <v>0</v>
      </c>
      <c r="F107" s="52" t="n">
        <f aca="false">IFERROR(INDEX($C$9:$C$14,MATCH(Wording_Ranks!M89,$B$9:$B$14,0)),0)</f>
        <v>0.5</v>
      </c>
      <c r="G107" s="52" t="n">
        <f aca="false">IFERROR(INDEX($C$9:$C$14,MATCH(Wording_Ranks!O89,$B$9:$B$14,0)),0)</f>
        <v>0</v>
      </c>
    </row>
    <row r="108" customFormat="false" ht="15" hidden="false" customHeight="true" outlineLevel="0" collapsed="false">
      <c r="A108" s="40" t="n">
        <f aca="false">Wording_Ranks!A90</f>
        <v>89</v>
      </c>
      <c r="B108" s="27" t="str">
        <f aca="false">Wording_Ranks!B90</f>
        <v>Carcinoma in Situ – Bile Ducts</v>
      </c>
      <c r="C108" s="52" t="n">
        <f aca="false">IFERROR(INDEX($C$9:$C$14,MATCH(Wording_Ranks!F90,$B$9:$B$14,0)),0)</f>
        <v>0.5</v>
      </c>
      <c r="D108" s="52" t="n">
        <f aca="false">IFERROR(INDEX($C$9:$C$14,MATCH(Wording_Ranks!H90,$B$9:$B$14,0)),0)</f>
        <v>0</v>
      </c>
      <c r="E108" s="52" t="n">
        <f aca="false">IFERROR(INDEX($C$9:$C$14,MATCH(Wording_Ranks!J90,$B$9:$B$14,0)),0)</f>
        <v>0</v>
      </c>
      <c r="F108" s="52" t="n">
        <f aca="false">IFERROR(INDEX($C$9:$C$14,MATCH(Wording_Ranks!M90,$B$9:$B$14,0)),0)</f>
        <v>0.5</v>
      </c>
      <c r="G108" s="52" t="n">
        <f aca="false">IFERROR(INDEX($C$9:$C$14,MATCH(Wording_Ranks!O90,$B$9:$B$14,0)),0)</f>
        <v>0</v>
      </c>
    </row>
    <row r="109" customFormat="false" ht="15" hidden="false" customHeight="true" outlineLevel="0" collapsed="false">
      <c r="A109" s="40" t="n">
        <f aca="false">Wording_Ranks!A91</f>
        <v>90</v>
      </c>
      <c r="B109" s="27" t="str">
        <f aca="false">Wording_Ranks!B91</f>
        <v>Carcinoma in Situ – Breast</v>
      </c>
      <c r="C109" s="52" t="n">
        <v>0.124223602484472</v>
      </c>
      <c r="D109" s="52" t="n">
        <v>0.093167701863354</v>
      </c>
      <c r="E109" s="52" t="n">
        <v>0.093167701863354</v>
      </c>
      <c r="F109" s="52" t="n">
        <v>0.093167701863354</v>
      </c>
      <c r="G109" s="52" t="n">
        <v>0</v>
      </c>
      <c r="I109" s="1" t="s">
        <v>407</v>
      </c>
    </row>
    <row r="110" customFormat="false" ht="15" hidden="false" customHeight="true" outlineLevel="0" collapsed="false">
      <c r="A110" s="40" t="n">
        <f aca="false">Wording_Ranks!A92</f>
        <v>91</v>
      </c>
      <c r="B110" s="27" t="str">
        <f aca="false">Wording_Ranks!B92</f>
        <v>Carcinoma in Situ – Cervix</v>
      </c>
      <c r="C110" s="52" t="n">
        <f aca="false">IFERROR(INDEX($C$9:$C$14,MATCH(Wording_Ranks!F92,$B$9:$B$14,0)),0)</f>
        <v>0.5</v>
      </c>
      <c r="D110" s="52" t="n">
        <f aca="false">IFERROR(INDEX($C$9:$C$14,MATCH(Wording_Ranks!H92,$B$9:$B$14,0)),0)</f>
        <v>0.5</v>
      </c>
      <c r="E110" s="52" t="n">
        <f aca="false">IFERROR(INDEX($C$9:$C$14,MATCH(Wording_Ranks!J92,$B$9:$B$14,0)),0)</f>
        <v>0.5</v>
      </c>
      <c r="F110" s="52" t="n">
        <f aca="false">IFERROR(INDEX($C$9:$C$14,MATCH(Wording_Ranks!M92,$B$9:$B$14,0)),0)</f>
        <v>0.5</v>
      </c>
      <c r="G110" s="52" t="n">
        <f aca="false">IFERROR(INDEX($C$9:$C$14,MATCH(Wording_Ranks!O92,$B$9:$B$14,0)),0)</f>
        <v>0</v>
      </c>
    </row>
    <row r="111" customFormat="false" ht="15" hidden="false" customHeight="true" outlineLevel="0" collapsed="false">
      <c r="A111" s="40" t="n">
        <f aca="false">Wording_Ranks!A93</f>
        <v>92</v>
      </c>
      <c r="B111" s="27" t="str">
        <f aca="false">Wording_Ranks!B93</f>
        <v>Carcinoma in Situ – Colon or Rectum</v>
      </c>
      <c r="C111" s="52" t="n">
        <f aca="false">IFERROR(INDEX($C$9:$C$14,MATCH(Wording_Ranks!F93,$B$9:$B$14,0)),0)</f>
        <v>0.5</v>
      </c>
      <c r="D111" s="52" t="n">
        <f aca="false">IFERROR(INDEX($C$9:$C$14,MATCH(Wording_Ranks!H93,$B$9:$B$14,0)),0)</f>
        <v>0.5</v>
      </c>
      <c r="E111" s="52" t="n">
        <f aca="false">IFERROR(INDEX($C$9:$C$14,MATCH(Wording_Ranks!J93,$B$9:$B$14,0)),0)</f>
        <v>0.5</v>
      </c>
      <c r="F111" s="52" t="n">
        <f aca="false">IFERROR(INDEX($C$9:$C$14,MATCH(Wording_Ranks!M93,$B$9:$B$14,0)),0)</f>
        <v>0.5</v>
      </c>
      <c r="G111" s="52" t="n">
        <f aca="false">IFERROR(INDEX($C$9:$C$14,MATCH(Wording_Ranks!O93,$B$9:$B$14,0)),0)</f>
        <v>0</v>
      </c>
    </row>
    <row r="112" customFormat="false" ht="15" hidden="false" customHeight="true" outlineLevel="0" collapsed="false">
      <c r="A112" s="40" t="n">
        <f aca="false">Wording_Ranks!A94</f>
        <v>93</v>
      </c>
      <c r="B112" s="27" t="str">
        <f aca="false">Wording_Ranks!B94</f>
        <v>Carcinoma in Situ – Gallbladder</v>
      </c>
      <c r="C112" s="52" t="n">
        <f aca="false">IFERROR(INDEX($C$9:$C$14,MATCH(Wording_Ranks!F94,$B$9:$B$14,0)),0)</f>
        <v>0.5</v>
      </c>
      <c r="D112" s="52" t="n">
        <f aca="false">IFERROR(INDEX($C$9:$C$14,MATCH(Wording_Ranks!H94,$B$9:$B$14,0)),0)</f>
        <v>0</v>
      </c>
      <c r="E112" s="52" t="n">
        <f aca="false">IFERROR(INDEX($C$9:$C$14,MATCH(Wording_Ranks!J94,$B$9:$B$14,0)),0)</f>
        <v>0</v>
      </c>
      <c r="F112" s="52" t="n">
        <f aca="false">IFERROR(INDEX($C$9:$C$14,MATCH(Wording_Ranks!M94,$B$9:$B$14,0)),0)</f>
        <v>0.5</v>
      </c>
      <c r="G112" s="52" t="n">
        <f aca="false">IFERROR(INDEX($C$9:$C$14,MATCH(Wording_Ranks!O94,$B$9:$B$14,0)),0)</f>
        <v>0</v>
      </c>
    </row>
    <row r="113" customFormat="false" ht="15" hidden="false" customHeight="true" outlineLevel="0" collapsed="false">
      <c r="A113" s="40" t="n">
        <f aca="false">Wording_Ranks!A95</f>
        <v>94</v>
      </c>
      <c r="B113" s="27" t="str">
        <f aca="false">Wording_Ranks!B95</f>
        <v>Carcinoma in Situ – Larynx</v>
      </c>
      <c r="C113" s="52" t="n">
        <f aca="false">IFERROR(INDEX($C$9:$C$14,MATCH(Wording_Ranks!F95,$B$9:$B$14,0)),0)</f>
        <v>0.5</v>
      </c>
      <c r="D113" s="52" t="n">
        <f aca="false">IFERROR(INDEX($C$9:$C$14,MATCH(Wording_Ranks!H95,$B$9:$B$14,0)),0)</f>
        <v>0.5</v>
      </c>
      <c r="E113" s="52" t="n">
        <f aca="false">IFERROR(INDEX($C$9:$C$14,MATCH(Wording_Ranks!J95,$B$9:$B$14,0)),0)</f>
        <v>0</v>
      </c>
      <c r="F113" s="52" t="n">
        <f aca="false">IFERROR(INDEX($C$9:$C$14,MATCH(Wording_Ranks!M95,$B$9:$B$14,0)),0)</f>
        <v>0.5</v>
      </c>
      <c r="G113" s="52" t="n">
        <f aca="false">IFERROR(INDEX($C$9:$C$14,MATCH(Wording_Ranks!O95,$B$9:$B$14,0)),0)</f>
        <v>0</v>
      </c>
    </row>
    <row r="114" customFormat="false" ht="15" hidden="false" customHeight="true" outlineLevel="0" collapsed="false">
      <c r="A114" s="40" t="n">
        <f aca="false">Wording_Ranks!A96</f>
        <v>95</v>
      </c>
      <c r="B114" s="27" t="str">
        <f aca="false">Wording_Ranks!B96</f>
        <v>Carcinoma in Situ – Lung/Bronchus</v>
      </c>
      <c r="C114" s="52" t="n">
        <f aca="false">IFERROR(INDEX($C$9:$C$14,MATCH(Wording_Ranks!F96,$B$9:$B$14,0)),0)</f>
        <v>0.5</v>
      </c>
      <c r="D114" s="52" t="n">
        <f aca="false">IFERROR(INDEX($C$9:$C$14,MATCH(Wording_Ranks!H96,$B$9:$B$14,0)),0)</f>
        <v>0.5</v>
      </c>
      <c r="E114" s="52" t="n">
        <f aca="false">IFERROR(INDEX($C$9:$C$14,MATCH(Wording_Ranks!J96,$B$9:$B$14,0)),0)</f>
        <v>0</v>
      </c>
      <c r="F114" s="52" t="n">
        <f aca="false">IFERROR(INDEX($C$9:$C$14,MATCH(Wording_Ranks!M96,$B$9:$B$14,0)),0)</f>
        <v>0.5</v>
      </c>
      <c r="G114" s="52" t="n">
        <f aca="false">IFERROR(INDEX($C$9:$C$14,MATCH(Wording_Ranks!O96,$B$9:$B$14,0)),0)</f>
        <v>0</v>
      </c>
    </row>
    <row r="115" customFormat="false" ht="15" hidden="false" customHeight="true" outlineLevel="0" collapsed="false">
      <c r="A115" s="40" t="n">
        <f aca="false">Wording_Ranks!A97</f>
        <v>96</v>
      </c>
      <c r="B115" s="27" t="str">
        <f aca="false">Wording_Ranks!B97</f>
        <v>Carcinoma in Situ – Oesophagus</v>
      </c>
      <c r="C115" s="52" t="n">
        <f aca="false">IFERROR(INDEX($C$9:$C$14,MATCH(Wording_Ranks!F97,$B$9:$B$14,0)),0)</f>
        <v>0.5</v>
      </c>
      <c r="D115" s="52" t="n">
        <f aca="false">IFERROR(INDEX($C$9:$C$14,MATCH(Wording_Ranks!H97,$B$9:$B$14,0)),0)</f>
        <v>0.5</v>
      </c>
      <c r="E115" s="52" t="n">
        <f aca="false">IFERROR(INDEX($C$9:$C$14,MATCH(Wording_Ranks!J97,$B$9:$B$14,0)),0)</f>
        <v>0.5</v>
      </c>
      <c r="F115" s="52" t="n">
        <f aca="false">IFERROR(INDEX($C$9:$C$14,MATCH(Wording_Ranks!M97,$B$9:$B$14,0)),0)</f>
        <v>0.5</v>
      </c>
      <c r="G115" s="52" t="n">
        <f aca="false">IFERROR(INDEX($C$9:$C$14,MATCH(Wording_Ranks!O97,$B$9:$B$14,0)),0)</f>
        <v>0</v>
      </c>
    </row>
    <row r="116" customFormat="false" ht="15" hidden="false" customHeight="true" outlineLevel="0" collapsed="false">
      <c r="A116" s="40" t="n">
        <f aca="false">Wording_Ranks!A98</f>
        <v>97</v>
      </c>
      <c r="B116" s="27" t="str">
        <f aca="false">Wording_Ranks!B98</f>
        <v>Carcinoma in Situ – Oral Cavity/Oropharynx</v>
      </c>
      <c r="C116" s="52" t="n">
        <f aca="false">IFERROR(INDEX($C$9:$C$14,MATCH(Wording_Ranks!F98,$B$9:$B$14,0)),0)</f>
        <v>0.5</v>
      </c>
      <c r="D116" s="52" t="n">
        <f aca="false">IFERROR(INDEX($C$9:$C$14,MATCH(Wording_Ranks!H98,$B$9:$B$14,0)),0)</f>
        <v>0.5</v>
      </c>
      <c r="E116" s="52" t="n">
        <f aca="false">IFERROR(INDEX($C$9:$C$14,MATCH(Wording_Ranks!J98,$B$9:$B$14,0)),0)</f>
        <v>0.5</v>
      </c>
      <c r="F116" s="52" t="n">
        <f aca="false">IFERROR(INDEX($C$9:$C$14,MATCH(Wording_Ranks!M98,$B$9:$B$14,0)),0)</f>
        <v>0.5</v>
      </c>
      <c r="G116" s="52" t="n">
        <f aca="false">IFERROR(INDEX($C$9:$C$14,MATCH(Wording_Ranks!O98,$B$9:$B$14,0)),0)</f>
        <v>0</v>
      </c>
    </row>
    <row r="117" customFormat="false" ht="15" hidden="false" customHeight="true" outlineLevel="0" collapsed="false">
      <c r="A117" s="40" t="n">
        <f aca="false">Wording_Ranks!A99</f>
        <v>98</v>
      </c>
      <c r="B117" s="27" t="str">
        <f aca="false">Wording_Ranks!B99</f>
        <v>Carcinoma in Situ – Other Sites</v>
      </c>
      <c r="C117" s="52" t="n">
        <f aca="false">IFERROR(INDEX($C$9:$C$14,MATCH(Wording_Ranks!F99,$B$9:$B$14,0)),0)</f>
        <v>0</v>
      </c>
      <c r="D117" s="52" t="n">
        <f aca="false">IFERROR(INDEX($C$9:$C$14,MATCH(Wording_Ranks!H99,$B$9:$B$14,0)),0)</f>
        <v>0.5</v>
      </c>
      <c r="E117" s="52" t="n">
        <f aca="false">IFERROR(INDEX($C$9:$C$14,MATCH(Wording_Ranks!J99,$B$9:$B$14,0)),0)</f>
        <v>0.5</v>
      </c>
      <c r="F117" s="52" t="n">
        <f aca="false">IFERROR(INDEX($C$9:$C$14,MATCH(Wording_Ranks!M99,$B$9:$B$14,0)),0)</f>
        <v>0.5</v>
      </c>
      <c r="G117" s="52" t="n">
        <f aca="false">IFERROR(INDEX($C$9:$C$14,MATCH(Wording_Ranks!O99,$B$9:$B$14,0)),0)</f>
        <v>0</v>
      </c>
    </row>
    <row r="118" customFormat="false" ht="15" hidden="false" customHeight="true" outlineLevel="0" collapsed="false">
      <c r="A118" s="40" t="n">
        <f aca="false">Wording_Ranks!A100</f>
        <v>99</v>
      </c>
      <c r="B118" s="27" t="str">
        <f aca="false">Wording_Ranks!B100</f>
        <v>Carcinoma in Situ – Pancreas</v>
      </c>
      <c r="C118" s="52" t="n">
        <f aca="false">IFERROR(INDEX($C$9:$C$14,MATCH(Wording_Ranks!F100,$B$9:$B$14,0)),0)</f>
        <v>0.5</v>
      </c>
      <c r="D118" s="52" t="n">
        <f aca="false">IFERROR(INDEX($C$9:$C$14,MATCH(Wording_Ranks!H100,$B$9:$B$14,0)),0)</f>
        <v>0</v>
      </c>
      <c r="E118" s="52" t="n">
        <f aca="false">IFERROR(INDEX($C$9:$C$14,MATCH(Wording_Ranks!J100,$B$9:$B$14,0)),0)</f>
        <v>0</v>
      </c>
      <c r="F118" s="52" t="n">
        <f aca="false">IFERROR(INDEX($C$9:$C$14,MATCH(Wording_Ranks!M100,$B$9:$B$14,0)),0)</f>
        <v>0.5</v>
      </c>
      <c r="G118" s="52" t="n">
        <f aca="false">IFERROR(INDEX($C$9:$C$14,MATCH(Wording_Ranks!O100,$B$9:$B$14,0)),0)</f>
        <v>0</v>
      </c>
    </row>
    <row r="119" customFormat="false" ht="15" hidden="false" customHeight="true" outlineLevel="0" collapsed="false">
      <c r="A119" s="40" t="n">
        <f aca="false">Wording_Ranks!A101</f>
        <v>100</v>
      </c>
      <c r="B119" s="27" t="str">
        <f aca="false">Wording_Ranks!B101</f>
        <v>Carcinoma in Situ – Renal Pelvis/Ureter</v>
      </c>
      <c r="C119" s="52" t="n">
        <f aca="false">IFERROR(INDEX($C$9:$C$14,MATCH(Wording_Ranks!F101,$B$9:$B$14,0)),0)</f>
        <v>0.5</v>
      </c>
      <c r="D119" s="52" t="n">
        <f aca="false">IFERROR(INDEX($C$9:$C$14,MATCH(Wording_Ranks!H101,$B$9:$B$14,0)),0)</f>
        <v>0.5</v>
      </c>
      <c r="E119" s="52" t="n">
        <f aca="false">IFERROR(INDEX($C$9:$C$14,MATCH(Wording_Ranks!J101,$B$9:$B$14,0)),0)</f>
        <v>0</v>
      </c>
      <c r="F119" s="52" t="n">
        <f aca="false">IFERROR(INDEX($C$9:$C$14,MATCH(Wording_Ranks!M101,$B$9:$B$14,0)),0)</f>
        <v>0.5</v>
      </c>
      <c r="G119" s="52" t="n">
        <f aca="false">IFERROR(INDEX($C$9:$C$14,MATCH(Wording_Ranks!O101,$B$9:$B$14,0)),0)</f>
        <v>0</v>
      </c>
    </row>
    <row r="120" customFormat="false" ht="15" hidden="false" customHeight="true" outlineLevel="0" collapsed="false">
      <c r="A120" s="40" t="n">
        <f aca="false">Wording_Ranks!A102</f>
        <v>101</v>
      </c>
      <c r="B120" s="27" t="str">
        <f aca="false">Wording_Ranks!B102</f>
        <v>Carcinoma in Situ – Stomach</v>
      </c>
      <c r="C120" s="52" t="n">
        <f aca="false">IFERROR(INDEX($C$9:$C$14,MATCH(Wording_Ranks!F102,$B$9:$B$14,0)),0)</f>
        <v>0.5</v>
      </c>
      <c r="D120" s="52" t="n">
        <f aca="false">IFERROR(INDEX($C$9:$C$14,MATCH(Wording_Ranks!H102,$B$9:$B$14,0)),0)</f>
        <v>0</v>
      </c>
      <c r="E120" s="52" t="n">
        <f aca="false">IFERROR(INDEX($C$9:$C$14,MATCH(Wording_Ranks!J102,$B$9:$B$14,0)),0)</f>
        <v>0</v>
      </c>
      <c r="F120" s="52" t="n">
        <f aca="false">IFERROR(INDEX($C$9:$C$14,MATCH(Wording_Ranks!M102,$B$9:$B$14,0)),0)</f>
        <v>0.5</v>
      </c>
      <c r="G120" s="52" t="n">
        <f aca="false">IFERROR(INDEX($C$9:$C$14,MATCH(Wording_Ranks!O102,$B$9:$B$14,0)),0)</f>
        <v>0</v>
      </c>
    </row>
    <row r="121" customFormat="false" ht="15" hidden="false" customHeight="true" outlineLevel="0" collapsed="false">
      <c r="A121" s="40" t="n">
        <f aca="false">Wording_Ranks!A103</f>
        <v>102</v>
      </c>
      <c r="B121" s="27" t="str">
        <f aca="false">Wording_Ranks!B103</f>
        <v>Carcinoma in Situ – Testicle</v>
      </c>
      <c r="C121" s="52" t="n">
        <f aca="false">IFERROR(INDEX($C$9:$C$14,MATCH(Wording_Ranks!F103,$B$9:$B$14,0)),0)</f>
        <v>0.5</v>
      </c>
      <c r="D121" s="52" t="n">
        <f aca="false">IFERROR(INDEX($C$9:$C$14,MATCH(Wording_Ranks!H103,$B$9:$B$14,0)),0)</f>
        <v>0.5</v>
      </c>
      <c r="E121" s="52" t="n">
        <f aca="false">IFERROR(INDEX($C$9:$C$14,MATCH(Wording_Ranks!J103,$B$9:$B$14,0)),0)</f>
        <v>0.5</v>
      </c>
      <c r="F121" s="52" t="n">
        <f aca="false">IFERROR(INDEX($C$9:$C$14,MATCH(Wording_Ranks!M103,$B$9:$B$14,0)),0)</f>
        <v>0.5</v>
      </c>
      <c r="G121" s="52" t="n">
        <f aca="false">IFERROR(INDEX($C$9:$C$14,MATCH(Wording_Ranks!O103,$B$9:$B$14,0)),0)</f>
        <v>0</v>
      </c>
    </row>
    <row r="122" customFormat="false" ht="15" hidden="false" customHeight="true" outlineLevel="0" collapsed="false">
      <c r="A122" s="40" t="n">
        <f aca="false">Wording_Ranks!A104</f>
        <v>103</v>
      </c>
      <c r="B122" s="27" t="str">
        <f aca="false">Wording_Ranks!B104</f>
        <v>Carcinoma in Situ – Thymus</v>
      </c>
      <c r="C122" s="52" t="n">
        <f aca="false">IFERROR(INDEX($C$9:$C$14,MATCH(Wording_Ranks!F104,$B$9:$B$14,0)),0)</f>
        <v>0.5</v>
      </c>
      <c r="D122" s="52" t="n">
        <f aca="false">IFERROR(INDEX($C$9:$C$14,MATCH(Wording_Ranks!H104,$B$9:$B$14,0)),0)</f>
        <v>0</v>
      </c>
      <c r="E122" s="52" t="n">
        <f aca="false">IFERROR(INDEX($C$9:$C$14,MATCH(Wording_Ranks!J104,$B$9:$B$14,0)),0)</f>
        <v>0</v>
      </c>
      <c r="F122" s="52" t="n">
        <f aca="false">IFERROR(INDEX($C$9:$C$14,MATCH(Wording_Ranks!M104,$B$9:$B$14,0)),0)</f>
        <v>0.5</v>
      </c>
      <c r="G122" s="52" t="n">
        <f aca="false">IFERROR(INDEX($C$9:$C$14,MATCH(Wording_Ranks!O104,$B$9:$B$14,0)),0)</f>
        <v>0</v>
      </c>
    </row>
    <row r="123" customFormat="false" ht="15" hidden="false" customHeight="true" outlineLevel="0" collapsed="false">
      <c r="A123" s="40" t="n">
        <f aca="false">Wording_Ranks!A105</f>
        <v>104</v>
      </c>
      <c r="B123" s="27" t="str">
        <f aca="false">Wording_Ranks!B105</f>
        <v>Carcinoma in Situ – Urinary Bladder</v>
      </c>
      <c r="C123" s="52" t="n">
        <f aca="false">IFERROR(INDEX($C$9:$C$14,MATCH(Wording_Ranks!F105,$B$9:$B$14,0)),0)</f>
        <v>0.5</v>
      </c>
      <c r="D123" s="52" t="n">
        <f aca="false">IFERROR(INDEX($C$9:$C$14,MATCH(Wording_Ranks!H105,$B$9:$B$14,0)),0)</f>
        <v>0.5</v>
      </c>
      <c r="E123" s="52" t="n">
        <f aca="false">IFERROR(INDEX($C$9:$C$14,MATCH(Wording_Ranks!J105,$B$9:$B$14,0)),0)</f>
        <v>0.5</v>
      </c>
      <c r="F123" s="52" t="n">
        <f aca="false">IFERROR(INDEX($C$9:$C$14,MATCH(Wording_Ranks!M105,$B$9:$B$14,0)),0)</f>
        <v>0.5</v>
      </c>
      <c r="G123" s="52" t="n">
        <f aca="false">IFERROR(INDEX($C$9:$C$14,MATCH(Wording_Ranks!O105,$B$9:$B$14,0)),0)</f>
        <v>0.5</v>
      </c>
    </row>
    <row r="124" customFormat="false" ht="15" hidden="false" customHeight="true" outlineLevel="0" collapsed="false">
      <c r="A124" s="40" t="n">
        <f aca="false">Wording_Ranks!A106</f>
        <v>105</v>
      </c>
      <c r="B124" s="27" t="str">
        <f aca="false">Wording_Ranks!B106</f>
        <v>Carcinoma in Situ – Uterus</v>
      </c>
      <c r="C124" s="52" t="n">
        <f aca="false">IFERROR(INDEX($C$9:$C$14,MATCH(Wording_Ranks!F106,$B$9:$B$14,0)),0)</f>
        <v>0.5</v>
      </c>
      <c r="D124" s="52" t="n">
        <f aca="false">IFERROR(INDEX($C$9:$C$14,MATCH(Wording_Ranks!H106,$B$9:$B$14,0)),0)</f>
        <v>0.5</v>
      </c>
      <c r="E124" s="52" t="n">
        <f aca="false">IFERROR(INDEX($C$9:$C$14,MATCH(Wording_Ranks!J106,$B$9:$B$14,0)),0)</f>
        <v>0</v>
      </c>
      <c r="F124" s="52" t="n">
        <f aca="false">IFERROR(INDEX($C$9:$C$14,MATCH(Wording_Ranks!M106,$B$9:$B$14,0)),0)</f>
        <v>0.5</v>
      </c>
      <c r="G124" s="52" t="n">
        <f aca="false">IFERROR(INDEX($C$9:$C$14,MATCH(Wording_Ranks!O106,$B$9:$B$14,0)),0)</f>
        <v>0</v>
      </c>
    </row>
    <row r="125" customFormat="false" ht="15" hidden="false" customHeight="true" outlineLevel="0" collapsed="false">
      <c r="A125" s="40" t="n">
        <f aca="false">Wording_Ranks!A107</f>
        <v>106</v>
      </c>
      <c r="B125" s="27" t="str">
        <f aca="false">Wording_Ranks!B107</f>
        <v>Carcinoma in Situ – Vagina</v>
      </c>
      <c r="C125" s="52" t="n">
        <f aca="false">IFERROR(INDEX($C$9:$C$14,MATCH(Wording_Ranks!F107,$B$9:$B$14,0)),0)</f>
        <v>0.5</v>
      </c>
      <c r="D125" s="52" t="n">
        <f aca="false">IFERROR(INDEX($C$9:$C$14,MATCH(Wording_Ranks!H107,$B$9:$B$14,0)),0)</f>
        <v>0.5</v>
      </c>
      <c r="E125" s="52" t="n">
        <f aca="false">IFERROR(INDEX($C$9:$C$14,MATCH(Wording_Ranks!J107,$B$9:$B$14,0)),0)</f>
        <v>0.5</v>
      </c>
      <c r="F125" s="52" t="n">
        <f aca="false">IFERROR(INDEX($C$9:$C$14,MATCH(Wording_Ranks!M107,$B$9:$B$14,0)),0)</f>
        <v>0.5</v>
      </c>
      <c r="G125" s="52" t="n">
        <f aca="false">IFERROR(INDEX($C$9:$C$14,MATCH(Wording_Ranks!O107,$B$9:$B$14,0)),0)</f>
        <v>0</v>
      </c>
    </row>
    <row r="126" customFormat="false" ht="15" hidden="false" customHeight="true" outlineLevel="0" collapsed="false">
      <c r="A126" s="40" t="n">
        <f aca="false">Wording_Ranks!A108</f>
        <v>107</v>
      </c>
      <c r="B126" s="27" t="str">
        <f aca="false">Wording_Ranks!B108</f>
        <v>Carcinoma in Situ – Vulva</v>
      </c>
      <c r="C126" s="52" t="n">
        <f aca="false">IFERROR(INDEX($C$9:$C$14,MATCH(Wording_Ranks!F108,$B$9:$B$14,0)),0)</f>
        <v>0.5</v>
      </c>
      <c r="D126" s="52" t="n">
        <f aca="false">IFERROR(INDEX($C$9:$C$14,MATCH(Wording_Ranks!H108,$B$9:$B$14,0)),0)</f>
        <v>0.5</v>
      </c>
      <c r="E126" s="52" t="n">
        <f aca="false">IFERROR(INDEX($C$9:$C$14,MATCH(Wording_Ranks!J108,$B$9:$B$14,0)),0)</f>
        <v>0.5</v>
      </c>
      <c r="F126" s="52" t="n">
        <f aca="false">IFERROR(INDEX($C$9:$C$14,MATCH(Wording_Ranks!M108,$B$9:$B$14,0)),0)</f>
        <v>0.5</v>
      </c>
      <c r="G126" s="52" t="n">
        <f aca="false">IFERROR(INDEX($C$9:$C$14,MATCH(Wording_Ranks!O108,$B$9:$B$14,0)),0)</f>
        <v>0</v>
      </c>
    </row>
    <row r="127" customFormat="false" ht="15" hidden="false" customHeight="true" outlineLevel="0" collapsed="false">
      <c r="A127" s="40" t="n">
        <f aca="false">Wording_Ranks!A109</f>
        <v>108</v>
      </c>
      <c r="B127" s="27" t="str">
        <f aca="false">Wording_Ranks!B109</f>
        <v>Desmoid-Type Fibromatosis</v>
      </c>
      <c r="C127" s="52" t="n">
        <f aca="false">IFERROR(INDEX($C$9:$C$14,MATCH(Wording_Ranks!F109,$B$9:$B$14,0)),0)</f>
        <v>0</v>
      </c>
      <c r="D127" s="52" t="n">
        <f aca="false">IFERROR(INDEX($C$9:$C$14,MATCH(Wording_Ranks!H109,$B$9:$B$14,0)),0)</f>
        <v>0</v>
      </c>
      <c r="E127" s="52" t="n">
        <f aca="false">IFERROR(INDEX($C$9:$C$14,MATCH(Wording_Ranks!J109,$B$9:$B$14,0)),0)</f>
        <v>0</v>
      </c>
      <c r="F127" s="52" t="n">
        <f aca="false">IFERROR(INDEX($C$9:$C$14,MATCH(Wording_Ranks!M109,$B$9:$B$14,0)),0)</f>
        <v>0.5</v>
      </c>
      <c r="G127" s="52" t="n">
        <f aca="false">IFERROR(INDEX($C$9:$C$14,MATCH(Wording_Ranks!O109,$B$9:$B$14,0)),0)</f>
        <v>0</v>
      </c>
    </row>
    <row r="128" customFormat="false" ht="15" hidden="false" customHeight="true" outlineLevel="0" collapsed="false">
      <c r="A128" s="40" t="n">
        <f aca="false">Wording_Ranks!A110</f>
        <v>109</v>
      </c>
      <c r="B128" s="27" t="str">
        <f aca="false">Wording_Ranks!B110</f>
        <v>GIST – Low Malignant Potential</v>
      </c>
      <c r="C128" s="52" t="n">
        <f aca="false">IFERROR(INDEX($C$9:$C$14,MATCH(Wording_Ranks!F110,$B$9:$B$14,0)),0)</f>
        <v>0.5</v>
      </c>
      <c r="D128" s="52" t="n">
        <f aca="false">IFERROR(INDEX($C$9:$C$14,MATCH(Wording_Ranks!H110,$B$9:$B$14,0)),0)</f>
        <v>0.5</v>
      </c>
      <c r="E128" s="52" t="n">
        <f aca="false">IFERROR(INDEX($C$9:$C$14,MATCH(Wording_Ranks!J110,$B$9:$B$14,0)),0)</f>
        <v>0.5</v>
      </c>
      <c r="F128" s="52" t="n">
        <f aca="false">IFERROR(INDEX($C$9:$C$14,MATCH(Wording_Ranks!M110,$B$9:$B$14,0)),0)</f>
        <v>0.5</v>
      </c>
      <c r="G128" s="52" t="n">
        <f aca="false">IFERROR(INDEX($C$9:$C$14,MATCH(Wording_Ranks!O110,$B$9:$B$14,0)),0)</f>
        <v>0.5</v>
      </c>
    </row>
    <row r="129" customFormat="false" ht="15" hidden="false" customHeight="true" outlineLevel="0" collapsed="false">
      <c r="A129" s="40" t="n">
        <f aca="false">Wording_Ranks!A111</f>
        <v>110</v>
      </c>
      <c r="B129" s="27" t="str">
        <f aca="false">Wording_Ranks!B111</f>
        <v>Hydatidiform Mole</v>
      </c>
      <c r="C129" s="52" t="n">
        <f aca="false">IFERROR(INDEX($C$9:$C$14,MATCH(Wording_Ranks!F111,$B$9:$B$14,0)),0)</f>
        <v>0</v>
      </c>
      <c r="D129" s="52" t="n">
        <f aca="false">IFERROR(INDEX($C$9:$C$14,MATCH(Wording_Ranks!H111,$B$9:$B$14,0)),0)</f>
        <v>0.1</v>
      </c>
      <c r="E129" s="52" t="n">
        <f aca="false">IFERROR(INDEX($C$9:$C$14,MATCH(Wording_Ranks!J111,$B$9:$B$14,0)),0)</f>
        <v>0</v>
      </c>
      <c r="F129" s="52" t="n">
        <f aca="false">IFERROR(INDEX($C$9:$C$14,MATCH(Wording_Ranks!M111,$B$9:$B$14,0)),0)</f>
        <v>0</v>
      </c>
      <c r="G129" s="52" t="n">
        <f aca="false">IFERROR(INDEX($C$9:$C$14,MATCH(Wording_Ranks!O111,$B$9:$B$14,0)),0)</f>
        <v>0</v>
      </c>
    </row>
    <row r="130" customFormat="false" ht="15" hidden="false" customHeight="true" outlineLevel="0" collapsed="false">
      <c r="A130" s="40" t="n">
        <f aca="false">Wording_Ranks!A112</f>
        <v>111</v>
      </c>
      <c r="B130" s="27" t="str">
        <f aca="false">Wording_Ranks!B112</f>
        <v>Neuroendocrine Tumour – Low Malignant Potential</v>
      </c>
      <c r="C130" s="52" t="n">
        <f aca="false">IFERROR(INDEX($C$9:$C$14,MATCH(Wording_Ranks!F112,$B$9:$B$14,0)),0)</f>
        <v>0.5</v>
      </c>
      <c r="D130" s="52" t="n">
        <f aca="false">IFERROR(INDEX($C$9:$C$14,MATCH(Wording_Ranks!H112,$B$9:$B$14,0)),0)</f>
        <v>0.5</v>
      </c>
      <c r="E130" s="52" t="n">
        <f aca="false">IFERROR(INDEX($C$9:$C$14,MATCH(Wording_Ranks!J112,$B$9:$B$14,0)),0)</f>
        <v>0.5</v>
      </c>
      <c r="F130" s="52" t="n">
        <f aca="false">IFERROR(INDEX($C$9:$C$14,MATCH(Wording_Ranks!M112,$B$9:$B$14,0)),0)</f>
        <v>0.5</v>
      </c>
      <c r="G130" s="52" t="n">
        <f aca="false">IFERROR(INDEX($C$9:$C$14,MATCH(Wording_Ranks!O112,$B$9:$B$14,0)),0)</f>
        <v>0.5</v>
      </c>
    </row>
    <row r="131" customFormat="false" ht="15" hidden="false" customHeight="true" outlineLevel="0" collapsed="false">
      <c r="A131" s="40" t="n">
        <f aca="false">Wording_Ranks!A113</f>
        <v>112</v>
      </c>
      <c r="B131" s="27" t="str">
        <f aca="false">Wording_Ranks!B113</f>
        <v>Ovarian Tumour – Borderline / Low Malignant Potential</v>
      </c>
      <c r="C131" s="52" t="n">
        <f aca="false">IFERROR(INDEX($C$9:$C$14,MATCH(Wording_Ranks!F113,$B$9:$B$14,0)),0)</f>
        <v>0.5</v>
      </c>
      <c r="D131" s="52" t="n">
        <f aca="false">IFERROR(INDEX($C$9:$C$14,MATCH(Wording_Ranks!H113,$B$9:$B$14,0)),0)</f>
        <v>0.5</v>
      </c>
      <c r="E131" s="52" t="n">
        <f aca="false">IFERROR(INDEX($C$9:$C$14,MATCH(Wording_Ranks!J113,$B$9:$B$14,0)),0)</f>
        <v>0.5</v>
      </c>
      <c r="F131" s="52" t="n">
        <f aca="false">IFERROR(INDEX($C$9:$C$14,MATCH(Wording_Ranks!M113,$B$9:$B$14,0)),0)</f>
        <v>0.5</v>
      </c>
      <c r="G131" s="52" t="n">
        <f aca="false">IFERROR(INDEX($C$9:$C$14,MATCH(Wording_Ranks!O113,$B$9:$B$14,0)),0)</f>
        <v>0.5</v>
      </c>
    </row>
    <row r="132" customFormat="false" ht="15" hidden="false" customHeight="true" outlineLevel="0" collapsed="false">
      <c r="A132" s="40" t="n">
        <f aca="false">Wording_Ranks!A114</f>
        <v>113</v>
      </c>
      <c r="B132" s="27" t="str">
        <f aca="false">Wording_Ranks!B114</f>
        <v>Primary Cutaneous Lymphoma</v>
      </c>
      <c r="C132" s="52" t="n">
        <f aca="false">IFERROR(INDEX($C$9:$C$14,MATCH(Wording_Ranks!F114,$B$9:$B$14,0)),0)</f>
        <v>0</v>
      </c>
      <c r="D132" s="52" t="n">
        <f aca="false">IFERROR(INDEX($C$9:$C$14,MATCH(Wording_Ranks!H114,$B$9:$B$14,0)),0)</f>
        <v>0</v>
      </c>
      <c r="E132" s="52" t="n">
        <f aca="false">IFERROR(INDEX($C$9:$C$14,MATCH(Wording_Ranks!J114,$B$9:$B$14,0)),0)</f>
        <v>0</v>
      </c>
      <c r="F132" s="52" t="n">
        <f aca="false">IFERROR(INDEX($C$9:$C$14,MATCH(Wording_Ranks!M114,$B$9:$B$14,0)),0)</f>
        <v>0.5</v>
      </c>
      <c r="G132" s="52" t="n">
        <f aca="false">IFERROR(INDEX($C$9:$C$14,MATCH(Wording_Ranks!O114,$B$9:$B$14,0)),0)</f>
        <v>0</v>
      </c>
    </row>
    <row r="133" customFormat="false" ht="15" hidden="false" customHeight="true" outlineLevel="0" collapsed="false">
      <c r="A133" s="40" t="n">
        <f aca="false">Wording_Ranks!A115</f>
        <v>114</v>
      </c>
      <c r="B133" s="27" t="str">
        <f aca="false">Wording_Ranks!B115</f>
        <v>30-day Related Claim Restriction (Operational)</v>
      </c>
      <c r="C133" s="52" t="n">
        <f aca="false">IFERROR(INDEX($C$9:$C$14,MATCH(Wording_Ranks!F115,$B$9:$B$14,0)),0)</f>
        <v>0</v>
      </c>
      <c r="D133" s="52" t="n">
        <f aca="false">IFERROR(INDEX($C$9:$C$14,MATCH(Wording_Ranks!H115,$B$9:$B$14,0)),0)</f>
        <v>0.1</v>
      </c>
      <c r="E133" s="52" t="n">
        <f aca="false">IFERROR(INDEX($C$9:$C$14,MATCH(Wording_Ranks!J115,$B$9:$B$14,0)),0)</f>
        <v>0</v>
      </c>
      <c r="F133" s="52" t="n">
        <f aca="false">IFERROR(INDEX($C$9:$C$14,MATCH(Wording_Ranks!M115,$B$9:$B$14,0)),0)</f>
        <v>0</v>
      </c>
      <c r="G133" s="52" t="n">
        <f aca="false">IFERROR(INDEX($C$9:$C$14,MATCH(Wording_Ranks!O115,$B$9:$B$14,0)),0)</f>
        <v>0</v>
      </c>
    </row>
    <row r="134" customFormat="false" ht="15" hidden="false" customHeight="true" outlineLevel="0" collapsed="false">
      <c r="A134" s="40" t="n">
        <f aca="false">Wording_Ranks!A116</f>
        <v>115</v>
      </c>
      <c r="B134" s="27" t="str">
        <f aca="false">Wording_Ranks!B116</f>
        <v>Eclampsia (Pregnancy)</v>
      </c>
      <c r="C134" s="52" t="n">
        <f aca="false">IFERROR(INDEX($C$9:$C$14,MATCH(Wording_Ranks!F116,$B$9:$B$14,0)),0)</f>
        <v>0</v>
      </c>
      <c r="D134" s="52" t="n">
        <f aca="false">IFERROR(INDEX($C$9:$C$14,MATCH(Wording_Ranks!H116,$B$9:$B$14,0)),0)</f>
        <v>0.1</v>
      </c>
      <c r="E134" s="52" t="n">
        <f aca="false">IFERROR(INDEX($C$9:$C$14,MATCH(Wording_Ranks!J116,$B$9:$B$14,0)),0)</f>
        <v>0</v>
      </c>
      <c r="F134" s="52" t="n">
        <f aca="false">IFERROR(INDEX($C$9:$C$14,MATCH(Wording_Ranks!M116,$B$9:$B$14,0)),0)</f>
        <v>0</v>
      </c>
      <c r="G134" s="52" t="n">
        <f aca="false">IFERROR(INDEX($C$9:$C$14,MATCH(Wording_Ranks!O116,$B$9:$B$14,0)),0)</f>
        <v>0</v>
      </c>
    </row>
    <row r="135" customFormat="false" ht="15" hidden="false" customHeight="true" outlineLevel="0" collapsed="false">
      <c r="A135" s="40" t="n">
        <f aca="false">Wording_Ranks!A117</f>
        <v>116</v>
      </c>
      <c r="B135" s="27" t="str">
        <f aca="false">Wording_Ranks!B117</f>
        <v>Ectopic Pregnancy</v>
      </c>
      <c r="C135" s="52" t="n">
        <f aca="false">IFERROR(INDEX($C$9:$C$14,MATCH(Wording_Ranks!F117,$B$9:$B$14,0)),0)</f>
        <v>0</v>
      </c>
      <c r="D135" s="52" t="n">
        <f aca="false">IFERROR(INDEX($C$9:$C$14,MATCH(Wording_Ranks!H117,$B$9:$B$14,0)),0)</f>
        <v>0.1</v>
      </c>
      <c r="E135" s="52" t="n">
        <f aca="false">IFERROR(INDEX($C$9:$C$14,MATCH(Wording_Ranks!J117,$B$9:$B$14,0)),0)</f>
        <v>0</v>
      </c>
      <c r="F135" s="52" t="n">
        <f aca="false">IFERROR(INDEX($C$9:$C$14,MATCH(Wording_Ranks!M117,$B$9:$B$14,0)),0)</f>
        <v>0</v>
      </c>
      <c r="G135" s="52" t="n">
        <f aca="false">IFERROR(INDEX($C$9:$C$14,MATCH(Wording_Ranks!O117,$B$9:$B$14,0)),0)</f>
        <v>0</v>
      </c>
    </row>
    <row r="136" customFormat="false" ht="15" hidden="false" customHeight="true" outlineLevel="0" collapsed="false">
      <c r="A136" s="40" t="n">
        <f aca="false">Wording_Ranks!A118</f>
        <v>117</v>
      </c>
      <c r="B136" s="27" t="str">
        <f aca="false">Wording_Ranks!B118</f>
        <v>Foetal Death in Utero (&gt;=20 weeks)</v>
      </c>
      <c r="C136" s="52" t="n">
        <f aca="false">IFERROR(INDEX($C$9:$C$14,MATCH(Wording_Ranks!F118,$B$9:$B$14,0)),0)</f>
        <v>0</v>
      </c>
      <c r="D136" s="52" t="n">
        <f aca="false">IFERROR(INDEX($C$9:$C$14,MATCH(Wording_Ranks!H118,$B$9:$B$14,0)),0)</f>
        <v>0.1</v>
      </c>
      <c r="E136" s="52" t="n">
        <f aca="false">IFERROR(INDEX($C$9:$C$14,MATCH(Wording_Ranks!J118,$B$9:$B$14,0)),0)</f>
        <v>0</v>
      </c>
      <c r="F136" s="52" t="n">
        <f aca="false">IFERROR(INDEX($C$9:$C$14,MATCH(Wording_Ranks!M118,$B$9:$B$14,0)),0)</f>
        <v>0</v>
      </c>
      <c r="G136" s="52" t="n">
        <f aca="false">IFERROR(INDEX($C$9:$C$14,MATCH(Wording_Ranks!O118,$B$9:$B$14,0)),0)</f>
        <v>0</v>
      </c>
    </row>
    <row r="137" customFormat="false" ht="15" hidden="false" customHeight="true" outlineLevel="0" collapsed="false">
      <c r="A137" s="40" t="n">
        <f aca="false">Wording_Ranks!A119</f>
        <v>118</v>
      </c>
      <c r="B137" s="27" t="str">
        <f aca="false">Wording_Ranks!B119</f>
        <v>Placental Abruption</v>
      </c>
      <c r="C137" s="52" t="n">
        <f aca="false">IFERROR(INDEX($C$9:$C$14,MATCH(Wording_Ranks!F119,$B$9:$B$14,0)),0)</f>
        <v>0</v>
      </c>
      <c r="D137" s="52" t="n">
        <f aca="false">IFERROR(INDEX($C$9:$C$14,MATCH(Wording_Ranks!H119,$B$9:$B$14,0)),0)</f>
        <v>0.1</v>
      </c>
      <c r="E137" s="52" t="n">
        <f aca="false">IFERROR(INDEX($C$9:$C$14,MATCH(Wording_Ranks!J119,$B$9:$B$14,0)),0)</f>
        <v>0</v>
      </c>
      <c r="F137" s="52" t="n">
        <f aca="false">IFERROR(INDEX($C$9:$C$14,MATCH(Wording_Ranks!M119,$B$9:$B$14,0)),0)</f>
        <v>0</v>
      </c>
      <c r="G137" s="52" t="n">
        <f aca="false">IFERROR(INDEX($C$9:$C$14,MATCH(Wording_Ranks!O119,$B$9:$B$14,0)),0)</f>
        <v>0</v>
      </c>
    </row>
    <row r="138" customFormat="false" ht="15" hidden="false" customHeight="true" outlineLevel="0" collapsed="false">
      <c r="A138" s="40" t="n">
        <f aca="false">Wording_Ranks!A120</f>
        <v>119</v>
      </c>
      <c r="B138" s="27" t="str">
        <f aca="false">Wording_Ranks!B120</f>
        <v>Severe Mental Illness</v>
      </c>
      <c r="C138" s="52" t="n">
        <f aca="false">IFERROR(INDEX($C$9:$C$14,MATCH(Wording_Ranks!F120,$B$9:$B$14,0)),0)</f>
        <v>0</v>
      </c>
      <c r="D138" s="52" t="n">
        <f aca="false">IFERROR(INDEX($C$9:$C$14,MATCH(Wording_Ranks!H120,$B$9:$B$14,0)),0)</f>
        <v>0</v>
      </c>
      <c r="E138" s="52" t="n">
        <f aca="false">IFERROR(INDEX($C$9:$C$14,MATCH(Wording_Ranks!J120,$B$9:$B$14,0)),0)</f>
        <v>0</v>
      </c>
      <c r="F138" s="52" t="n">
        <f aca="false">IFERROR(INDEX($C$9:$C$14,MATCH(Wording_Ranks!M120,$B$9:$B$14,0)),0)</f>
        <v>0.5</v>
      </c>
      <c r="G138" s="52" t="n">
        <f aca="false">IFERROR(INDEX($C$9:$C$14,MATCH(Wording_Ranks!O120,$B$9:$B$14,0)),0)</f>
        <v>0</v>
      </c>
    </row>
    <row r="139" customFormat="false" ht="15" hidden="false" customHeight="true" outlineLevel="0" collapsed="false">
      <c r="A139" s="40" t="n">
        <f aca="false">Wording_Ranks!A121</f>
        <v>120</v>
      </c>
      <c r="B139" s="27" t="str">
        <f aca="false">Wording_Ranks!B121</f>
        <v>Kidney Failure – Requiring Dialysis</v>
      </c>
      <c r="C139" s="52" t="n">
        <f aca="false">IFERROR(INDEX($C$9:$C$14,MATCH(Wording_Ranks!F121,$B$9:$B$14,0)),0)</f>
        <v>1</v>
      </c>
      <c r="D139" s="52" t="n">
        <f aca="false">IFERROR(INDEX($C$9:$C$14,MATCH(Wording_Ranks!H121,$B$9:$B$14,0)),0)</f>
        <v>1</v>
      </c>
      <c r="E139" s="52" t="n">
        <f aca="false">IFERROR(INDEX($C$9:$C$14,MATCH(Wording_Ranks!J121,$B$9:$B$14,0)),0)</f>
        <v>1</v>
      </c>
      <c r="F139" s="52" t="n">
        <f aca="false">IFERROR(INDEX($C$9:$C$14,MATCH(Wording_Ranks!M121,$B$9:$B$14,0)),0)</f>
        <v>1</v>
      </c>
      <c r="G139" s="52" t="n">
        <f aca="false">IFERROR(INDEX($C$9:$C$14,MATCH(Wording_Ranks!O121,$B$9:$B$14,0)),0)</f>
        <v>1</v>
      </c>
    </row>
    <row r="140" customFormat="false" ht="15" hidden="false" customHeight="true" outlineLevel="0" collapsed="false">
      <c r="A140" s="40" t="n">
        <f aca="false">Wording_Ranks!A122</f>
        <v>121</v>
      </c>
      <c r="B140" s="27" t="str">
        <f aca="false">Wording_Ranks!B122</f>
        <v>Interstitial Lung Disease</v>
      </c>
      <c r="C140" s="52" t="n">
        <f aca="false">IFERROR(INDEX($C$9:$C$14,MATCH(Wording_Ranks!F122,$B$9:$B$14,0)),0)</f>
        <v>0</v>
      </c>
      <c r="D140" s="52" t="n">
        <f aca="false">IFERROR(INDEX($C$9:$C$14,MATCH(Wording_Ranks!H122,$B$9:$B$14,0)),0)</f>
        <v>0</v>
      </c>
      <c r="E140" s="52" t="n">
        <f aca="false">IFERROR(INDEX($C$9:$C$14,MATCH(Wording_Ranks!J122,$B$9:$B$14,0)),0)</f>
        <v>0</v>
      </c>
      <c r="F140" s="52" t="n">
        <f aca="false">IFERROR(INDEX($C$9:$C$14,MATCH(Wording_Ranks!M122,$B$9:$B$14,0)),0)</f>
        <v>1</v>
      </c>
      <c r="G140" s="52" t="n">
        <f aca="false">IFERROR(INDEX($C$9:$C$14,MATCH(Wording_Ranks!O122,$B$9:$B$14,0)),0)</f>
        <v>0</v>
      </c>
    </row>
    <row r="141" customFormat="false" ht="15" hidden="false" customHeight="true" outlineLevel="0" collapsed="false">
      <c r="A141" s="40" t="n">
        <f aca="false">Wording_Ranks!A123</f>
        <v>122</v>
      </c>
      <c r="B141" s="27" t="str">
        <f aca="false">Wording_Ranks!B123</f>
        <v>Respiratory Failure</v>
      </c>
      <c r="C141" s="52" t="n">
        <f aca="false">IFERROR(INDEX($C$9:$C$14,MATCH(Wording_Ranks!F123,$B$9:$B$14,0)),0)</f>
        <v>0</v>
      </c>
      <c r="D141" s="52" t="n">
        <f aca="false">IFERROR(INDEX($C$9:$C$14,MATCH(Wording_Ranks!H123,$B$9:$B$14,0)),0)</f>
        <v>1</v>
      </c>
      <c r="E141" s="52" t="n">
        <f aca="false">IFERROR(INDEX($C$9:$C$14,MATCH(Wording_Ranks!J123,$B$9:$B$14,0)),0)</f>
        <v>0</v>
      </c>
      <c r="F141" s="52" t="n">
        <f aca="false">IFERROR(INDEX($C$9:$C$14,MATCH(Wording_Ranks!M123,$B$9:$B$14,0)),0)</f>
        <v>0</v>
      </c>
      <c r="G141" s="52" t="n">
        <f aca="false">IFERROR(INDEX($C$9:$C$14,MATCH(Wording_Ranks!O123,$B$9:$B$14,0)),0)</f>
        <v>0</v>
      </c>
    </row>
    <row r="142" customFormat="false" ht="15" hidden="false" customHeight="true" outlineLevel="0" collapsed="false">
      <c r="A142" s="40" t="n">
        <f aca="false">Wording_Ranks!A124</f>
        <v>123</v>
      </c>
      <c r="B142" s="27" t="str">
        <f aca="false">Wording_Ranks!B124</f>
        <v>Severe / Chronic Lung Disease</v>
      </c>
      <c r="C142" s="52" t="n">
        <f aca="false">IFERROR(INDEX($C$9:$C$14,MATCH(Wording_Ranks!F124,$B$9:$B$14,0)),0)</f>
        <v>1</v>
      </c>
      <c r="D142" s="52" t="n">
        <f aca="false">IFERROR(INDEX($C$9:$C$14,MATCH(Wording_Ranks!H124,$B$9:$B$14,0)),0)</f>
        <v>0</v>
      </c>
      <c r="E142" s="52" t="n">
        <f aca="false">IFERROR(INDEX($C$9:$C$14,MATCH(Wording_Ranks!J124,$B$9:$B$14,0)),0)</f>
        <v>1</v>
      </c>
      <c r="F142" s="52" t="n">
        <f aca="false">IFERROR(INDEX($C$9:$C$14,MATCH(Wording_Ranks!M124,$B$9:$B$14,0)),0)</f>
        <v>1</v>
      </c>
      <c r="G142" s="52" t="n">
        <f aca="false">IFERROR(INDEX($C$9:$C$14,MATCH(Wording_Ranks!O124,$B$9:$B$14,0)),0)</f>
        <v>1</v>
      </c>
    </row>
    <row r="143" customFormat="false" ht="15" hidden="false" customHeight="true" outlineLevel="0" collapsed="false">
      <c r="A143" s="40" t="n">
        <f aca="false">Wording_Ranks!A125</f>
        <v>124</v>
      </c>
      <c r="B143" s="27" t="str">
        <f aca="false">Wording_Ranks!B125</f>
        <v>Cystic Fibrosis</v>
      </c>
      <c r="C143" s="52" t="n">
        <f aca="false">IFERROR(INDEX($C$9:$C$14,MATCH(Wording_Ranks!F125,$B$9:$B$14,0)),0)</f>
        <v>0</v>
      </c>
      <c r="D143" s="52" t="n">
        <f aca="false">IFERROR(INDEX($C$9:$C$14,MATCH(Wording_Ranks!H125,$B$9:$B$14,0)),0)</f>
        <v>0</v>
      </c>
      <c r="E143" s="52" t="n">
        <f aca="false">IFERROR(INDEX($C$9:$C$14,MATCH(Wording_Ranks!J125,$B$9:$B$14,0)),0)</f>
        <v>0</v>
      </c>
      <c r="F143" s="52" t="n">
        <f aca="false">IFERROR(INDEX($C$9:$C$14,MATCH(Wording_Ranks!M125,$B$9:$B$14,0)),0)</f>
        <v>0</v>
      </c>
      <c r="G143" s="52" t="n">
        <f aca="false">IFERROR(INDEX($C$9:$C$14,MATCH(Wording_Ranks!O125,$B$9:$B$14,0)),0)</f>
        <v>0</v>
      </c>
    </row>
    <row r="144" customFormat="false" ht="15" hidden="false" customHeight="true" outlineLevel="0" collapsed="false">
      <c r="A144" s="40" t="n">
        <f aca="false">Wording_Ranks!A126</f>
        <v>125</v>
      </c>
      <c r="B144" s="27" t="str">
        <f aca="false">Wording_Ranks!B126</f>
        <v>Single Lobectomy – for Disease or Trauma (Partial)</v>
      </c>
      <c r="C144" s="52" t="n">
        <f aca="false">IFERROR(INDEX($C$9:$C$14,MATCH(Wording_Ranks!F126,$B$9:$B$14,0)),0)</f>
        <v>0.5</v>
      </c>
      <c r="D144" s="52" t="n">
        <f aca="false">IFERROR(INDEX($C$9:$C$14,MATCH(Wording_Ranks!H126,$B$9:$B$14,0)),0)</f>
        <v>0.5</v>
      </c>
      <c r="E144" s="52" t="n">
        <f aca="false">IFERROR(INDEX($C$9:$C$14,MATCH(Wording_Ranks!J126,$B$9:$B$14,0)),0)</f>
        <v>0.5</v>
      </c>
      <c r="F144" s="52" t="n">
        <f aca="false">IFERROR(INDEX($C$9:$C$14,MATCH(Wording_Ranks!M126,$B$9:$B$14,0)),0)</f>
        <v>0.5</v>
      </c>
      <c r="G144" s="52" t="n">
        <f aca="false">IFERROR(INDEX($C$9:$C$14,MATCH(Wording_Ranks!O126,$B$9:$B$14,0)),0)</f>
        <v>0.5</v>
      </c>
    </row>
    <row r="145" customFormat="false" ht="15" hidden="false" customHeight="true" outlineLevel="0" collapsed="false">
      <c r="A145" s="40" t="n">
        <f aca="false">Wording_Ranks!A127</f>
        <v>126</v>
      </c>
      <c r="B145" s="27" t="str">
        <f aca="false">Wording_Ranks!B127</f>
        <v>Total Pneumonectomy</v>
      </c>
      <c r="C145" s="52" t="n">
        <f aca="false">IFERROR(INDEX($C$9:$C$14,MATCH(Wording_Ranks!F127,$B$9:$B$14,0)),0)</f>
        <v>1</v>
      </c>
      <c r="D145" s="52" t="n">
        <f aca="false">IFERROR(INDEX($C$9:$C$14,MATCH(Wording_Ranks!H127,$B$9:$B$14,0)),0)</f>
        <v>1</v>
      </c>
      <c r="E145" s="52" t="n">
        <f aca="false">IFERROR(INDEX($C$9:$C$14,MATCH(Wording_Ranks!J127,$B$9:$B$14,0)),0)</f>
        <v>1</v>
      </c>
      <c r="F145" s="52" t="n">
        <f aca="false">IFERROR(INDEX($C$9:$C$14,MATCH(Wording_Ranks!M127,$B$9:$B$14,0)),0)</f>
        <v>1</v>
      </c>
      <c r="G145" s="52" t="n">
        <f aca="false">IFERROR(INDEX($C$9:$C$14,MATCH(Wording_Ranks!O127,$B$9:$B$14,0)),0)</f>
        <v>1</v>
      </c>
    </row>
    <row r="146" customFormat="false" ht="15" hidden="false" customHeight="true" outlineLevel="0" collapsed="false">
      <c r="A146" s="40" t="n">
        <f aca="false">Wording_Ranks!A128</f>
        <v>127</v>
      </c>
      <c r="B146" s="27" t="str">
        <f aca="false">Wording_Ranks!B128</f>
        <v>Blindness – Permanent and Irreversible</v>
      </c>
      <c r="C146" s="52" t="n">
        <f aca="false">IFERROR(INDEX($C$9:$C$14,MATCH(Wording_Ranks!F128,$B$9:$B$14,0)),0)</f>
        <v>1</v>
      </c>
      <c r="D146" s="52" t="n">
        <f aca="false">IFERROR(INDEX($C$9:$C$14,MATCH(Wording_Ranks!H128,$B$9:$B$14,0)),0)</f>
        <v>1</v>
      </c>
      <c r="E146" s="52" t="n">
        <f aca="false">IFERROR(INDEX($C$9:$C$14,MATCH(Wording_Ranks!J128,$B$9:$B$14,0)),0)</f>
        <v>1</v>
      </c>
      <c r="F146" s="52" t="n">
        <f aca="false">IFERROR(INDEX($C$9:$C$14,MATCH(Wording_Ranks!M128,$B$9:$B$14,0)),0)</f>
        <v>1</v>
      </c>
      <c r="G146" s="52" t="n">
        <f aca="false">IFERROR(INDEX($C$9:$C$14,MATCH(Wording_Ranks!O128,$B$9:$B$14,0)),0)</f>
        <v>1</v>
      </c>
    </row>
    <row r="147" customFormat="false" ht="15" hidden="false" customHeight="true" outlineLevel="0" collapsed="false">
      <c r="A147" s="40" t="n">
        <f aca="false">Wording_Ranks!A129</f>
        <v>128</v>
      </c>
      <c r="B147" s="27" t="str">
        <f aca="false">Wording_Ranks!B129</f>
        <v>Deafness – Permanent and Irreversible</v>
      </c>
      <c r="C147" s="52" t="n">
        <f aca="false">IFERROR(INDEX($C$9:$C$14,MATCH(Wording_Ranks!F129,$B$9:$B$14,0)),0)</f>
        <v>1</v>
      </c>
      <c r="D147" s="52" t="n">
        <f aca="false">IFERROR(INDEX($C$9:$C$14,MATCH(Wording_Ranks!H129,$B$9:$B$14,0)),0)</f>
        <v>1</v>
      </c>
      <c r="E147" s="52" t="n">
        <f aca="false">IFERROR(INDEX($C$9:$C$14,MATCH(Wording_Ranks!J129,$B$9:$B$14,0)),0)</f>
        <v>1</v>
      </c>
      <c r="F147" s="52" t="n">
        <f aca="false">IFERROR(INDEX($C$9:$C$14,MATCH(Wording_Ranks!M129,$B$9:$B$14,0)),0)</f>
        <v>1</v>
      </c>
      <c r="G147" s="52" t="n">
        <f aca="false">IFERROR(INDEX($C$9:$C$14,MATCH(Wording_Ranks!O129,$B$9:$B$14,0)),0)</f>
        <v>1</v>
      </c>
    </row>
    <row r="148" customFormat="false" ht="15" hidden="false" customHeight="true" outlineLevel="0" collapsed="false">
      <c r="A148" s="40" t="n">
        <f aca="false">Wording_Ranks!A130</f>
        <v>129</v>
      </c>
      <c r="B148" s="27" t="str">
        <f aca="false">Wording_Ranks!B130</f>
        <v>Significant Visual Impairment – Permanent and Irreversible</v>
      </c>
      <c r="C148" s="52" t="n">
        <f aca="false">IFERROR(INDEX($C$9:$C$14,MATCH(Wording_Ranks!F130,$B$9:$B$14,0)),0)</f>
        <v>0.5</v>
      </c>
      <c r="D148" s="52" t="n">
        <f aca="false">IFERROR(INDEX($C$9:$C$14,MATCH(Wording_Ranks!H130,$B$9:$B$14,0)),0)</f>
        <v>0.5</v>
      </c>
      <c r="E148" s="52" t="n">
        <f aca="false">IFERROR(INDEX($C$9:$C$14,MATCH(Wording_Ranks!J130,$B$9:$B$14,0)),0)</f>
        <v>0.5</v>
      </c>
      <c r="F148" s="52" t="n">
        <f aca="false">IFERROR(INDEX($C$9:$C$14,MATCH(Wording_Ranks!M130,$B$9:$B$14,0)),0)</f>
        <v>0.5</v>
      </c>
      <c r="G148" s="52" t="n">
        <f aca="false">IFERROR(INDEX($C$9:$C$14,MATCH(Wording_Ranks!O130,$B$9:$B$14,0)),0)</f>
        <v>0.5</v>
      </c>
    </row>
    <row r="149" customFormat="false" ht="15" hidden="false" customHeight="true" outlineLevel="0" collapsed="false">
      <c r="A149" s="40" t="n">
        <f aca="false">Wording_Ranks!A131</f>
        <v>130</v>
      </c>
      <c r="B149" s="27" t="str">
        <f aca="false">Wording_Ranks!B131</f>
        <v>Surgical Removal of One Eye</v>
      </c>
      <c r="C149" s="52" t="n">
        <f aca="false">IFERROR(INDEX($C$9:$C$14,MATCH(Wording_Ranks!F131,$B$9:$B$14,0)),0)</f>
        <v>0.5</v>
      </c>
      <c r="D149" s="52" t="n">
        <f aca="false">IFERROR(INDEX($C$9:$C$14,MATCH(Wording_Ranks!H131,$B$9:$B$14,0)),0)</f>
        <v>0.5</v>
      </c>
      <c r="E149" s="52" t="n">
        <f aca="false">IFERROR(INDEX($C$9:$C$14,MATCH(Wording_Ranks!J131,$B$9:$B$14,0)),0)</f>
        <v>0.5</v>
      </c>
      <c r="F149" s="52" t="n">
        <f aca="false">IFERROR(INDEX($C$9:$C$14,MATCH(Wording_Ranks!M131,$B$9:$B$14,0)),0)</f>
        <v>0.5</v>
      </c>
      <c r="G149" s="52" t="n">
        <f aca="false">IFERROR(INDEX($C$9:$C$14,MATCH(Wording_Ranks!O131,$B$9:$B$14,0)),0)</f>
        <v>0.5</v>
      </c>
    </row>
    <row r="150" customFormat="false" ht="15" hidden="false" customHeight="true" outlineLevel="0" collapsed="false">
      <c r="A150" s="40" t="n">
        <f aca="false">Wording_Ranks!A132</f>
        <v>131</v>
      </c>
      <c r="B150" s="27" t="str">
        <f aca="false">Wording_Ranks!B132</f>
        <v>Loss of Speech – Permanent and Irreversible</v>
      </c>
      <c r="C150" s="52" t="n">
        <f aca="false">IFERROR(INDEX($C$9:$C$14,MATCH(Wording_Ranks!F132,$B$9:$B$14,0)),0)</f>
        <v>1</v>
      </c>
      <c r="D150" s="52" t="n">
        <f aca="false">IFERROR(INDEX($C$9:$C$14,MATCH(Wording_Ranks!H132,$B$9:$B$14,0)),0)</f>
        <v>1</v>
      </c>
      <c r="E150" s="52" t="n">
        <f aca="false">IFERROR(INDEX($C$9:$C$14,MATCH(Wording_Ranks!J132,$B$9:$B$14,0)),0)</f>
        <v>1</v>
      </c>
      <c r="F150" s="52" t="n">
        <f aca="false">IFERROR(INDEX($C$9:$C$14,MATCH(Wording_Ranks!M132,$B$9:$B$14,0)),0)</f>
        <v>1</v>
      </c>
      <c r="G150" s="52" t="n">
        <f aca="false">IFERROR(INDEX($C$9:$C$14,MATCH(Wording_Ranks!O132,$B$9:$B$14,0)),0)</f>
        <v>1</v>
      </c>
    </row>
    <row r="151" customFormat="false" ht="15" hidden="false" customHeight="true" outlineLevel="0" collapsed="false">
      <c r="A151" s="40" t="n">
        <f aca="false">Wording_Ranks!A133</f>
        <v>132</v>
      </c>
      <c r="B151" s="27" t="str">
        <f aca="false">Wording_Ranks!B133</f>
        <v>Donor Recipient Cover</v>
      </c>
      <c r="C151" s="52" t="n">
        <f aca="false">IFERROR(INDEX($C$9:$C$14,MATCH(Wording_Ranks!F133,$B$9:$B$14,0)),0)</f>
        <v>0</v>
      </c>
      <c r="D151" s="52" t="n">
        <f aca="false">IFERROR(INDEX($C$9:$C$14,MATCH(Wording_Ranks!H133,$B$9:$B$14,0)),0)</f>
        <v>0</v>
      </c>
      <c r="E151" s="52" t="n">
        <f aca="false">IFERROR(INDEX($C$9:$C$14,MATCH(Wording_Ranks!J133,$B$9:$B$14,0)),0)</f>
        <v>0</v>
      </c>
      <c r="F151" s="52" t="n">
        <f aca="false">IFERROR(INDEX($C$9:$C$14,MATCH(Wording_Ranks!M133,$B$9:$B$14,0)),0)</f>
        <v>0.1</v>
      </c>
      <c r="G151" s="52" t="n">
        <f aca="false">IFERROR(INDEX($C$9:$C$14,MATCH(Wording_Ranks!O133,$B$9:$B$14,0)),0)</f>
        <v>0</v>
      </c>
    </row>
    <row r="152" customFormat="false" ht="15" hidden="false" customHeight="true" outlineLevel="0" collapsed="false">
      <c r="A152" s="40" t="n">
        <f aca="false">Wording_Ranks!A134</f>
        <v>133</v>
      </c>
      <c r="B152" s="27" t="str">
        <f aca="false">Wording_Ranks!B134</f>
        <v>Major Organ Transplant</v>
      </c>
      <c r="C152" s="52" t="n">
        <f aca="false">IFERROR(INDEX($C$9:$C$14,MATCH(Wording_Ranks!F134,$B$9:$B$14,0)),0)</f>
        <v>1</v>
      </c>
      <c r="D152" s="52" t="n">
        <f aca="false">IFERROR(INDEX($C$9:$C$14,MATCH(Wording_Ranks!H134,$B$9:$B$14,0)),0)</f>
        <v>1</v>
      </c>
      <c r="E152" s="52" t="n">
        <f aca="false">IFERROR(INDEX($C$9:$C$14,MATCH(Wording_Ranks!J134,$B$9:$B$14,0)),0)</f>
        <v>1</v>
      </c>
      <c r="F152" s="52" t="n">
        <f aca="false">IFERROR(INDEX($C$9:$C$14,MATCH(Wording_Ranks!M134,$B$9:$B$14,0)),0)</f>
        <v>1</v>
      </c>
      <c r="G152" s="52" t="n">
        <f aca="false">IFERROR(INDEX($C$9:$C$14,MATCH(Wording_Ranks!O134,$B$9:$B$14,0)),0)</f>
        <v>1</v>
      </c>
    </row>
    <row r="153" customFormat="false" ht="15" hidden="false" customHeight="true" outlineLevel="0" collapsed="false">
      <c r="A153" s="40" t="n">
        <f aca="false">Wording_Ranks!A135</f>
        <v>134</v>
      </c>
      <c r="B153" s="27" t="str">
        <f aca="false">Wording_Ranks!B135</f>
        <v>Third-Degree Burns – Major (&gt;=20% body / 50% face)</v>
      </c>
      <c r="C153" s="52" t="n">
        <f aca="false">IFERROR(INDEX($C$9:$C$14,MATCH(Wording_Ranks!F135,$B$9:$B$14,0)),0)</f>
        <v>1</v>
      </c>
      <c r="D153" s="52" t="n">
        <f aca="false">IFERROR(INDEX($C$9:$C$14,MATCH(Wording_Ranks!H135,$B$9:$B$14,0)),0)</f>
        <v>1</v>
      </c>
      <c r="E153" s="52" t="n">
        <f aca="false">IFERROR(INDEX($C$9:$C$14,MATCH(Wording_Ranks!J135,$B$9:$B$14,0)),0)</f>
        <v>1</v>
      </c>
      <c r="F153" s="52" t="n">
        <f aca="false">IFERROR(INDEX($C$9:$C$14,MATCH(Wording_Ranks!M135,$B$9:$B$14,0)),0)</f>
        <v>1</v>
      </c>
      <c r="G153" s="52" t="n">
        <f aca="false">IFERROR(INDEX($C$9:$C$14,MATCH(Wording_Ranks!O135,$B$9:$B$14,0)),0)</f>
        <v>1</v>
      </c>
    </row>
    <row r="154" customFormat="false" ht="15" hidden="false" customHeight="true" outlineLevel="0" collapsed="false">
      <c r="A154" s="40" t="n">
        <f aca="false">Wording_Ranks!A136</f>
        <v>135</v>
      </c>
      <c r="B154" s="27" t="str">
        <f aca="false">Wording_Ranks!B136</f>
        <v>Cystectomy – Complete Removal of the Urinary Bladder</v>
      </c>
      <c r="C154" s="52" t="n">
        <f aca="false">IFERROR(INDEX($C$9:$C$14,MATCH(Wording_Ranks!F136,$B$9:$B$14,0)),0)</f>
        <v>0.5</v>
      </c>
      <c r="D154" s="52" t="n">
        <f aca="false">IFERROR(INDEX($C$9:$C$14,MATCH(Wording_Ranks!H136,$B$9:$B$14,0)),0)</f>
        <v>0.5</v>
      </c>
      <c r="E154" s="52" t="n">
        <f aca="false">IFERROR(INDEX($C$9:$C$14,MATCH(Wording_Ranks!J136,$B$9:$B$14,0)),0)</f>
        <v>0.5</v>
      </c>
      <c r="F154" s="52" t="n">
        <f aca="false">IFERROR(INDEX($C$9:$C$14,MATCH(Wording_Ranks!M136,$B$9:$B$14,0)),0)</f>
        <v>0.5</v>
      </c>
      <c r="G154" s="52" t="n">
        <f aca="false">IFERROR(INDEX($C$9:$C$14,MATCH(Wording_Ranks!O136,$B$9:$B$14,0)),0)</f>
        <v>0.5</v>
      </c>
    </row>
    <row r="157" customFormat="false" ht="15" hidden="false" customHeight="true" outlineLevel="0" collapsed="false">
      <c r="B157" s="29" t="s">
        <v>408</v>
      </c>
    </row>
    <row r="158" customFormat="false" ht="34.5" hidden="false" customHeight="true" outlineLevel="0" collapsed="false">
      <c r="B158" s="51" t="s">
        <v>259</v>
      </c>
      <c r="C158" s="51" t="s">
        <v>409</v>
      </c>
      <c r="D158" s="51" t="s">
        <v>410</v>
      </c>
      <c r="E158" s="51" t="s">
        <v>291</v>
      </c>
      <c r="F158" s="51" t="s">
        <v>411</v>
      </c>
      <c r="G158" s="51" t="s">
        <v>9</v>
      </c>
    </row>
    <row r="159" customFormat="false" ht="15" hidden="false" customHeight="true" outlineLevel="0" collapsed="false">
      <c r="B159" s="27" t="s">
        <v>264</v>
      </c>
      <c r="C159" s="40" t="n">
        <f aca="false">COUNTIF(C20:C154,"&gt;0")</f>
        <v>91</v>
      </c>
      <c r="D159" s="52" t="n">
        <f aca="false">AVERAGEIF(C20:C154,"&gt;0")</f>
        <v>0.760705753873456</v>
      </c>
      <c r="E159" s="40" t="n">
        <f aca="false">Coverage_Summary!C6+Coverage_Summary!D6+Coverage_Summary!E6+Coverage_Summary!F6</f>
        <v>91</v>
      </c>
      <c r="F159" s="40" t="n">
        <f aca="false">Wording_Scores!C157</f>
        <v>91</v>
      </c>
      <c r="G159" s="40" t="str">
        <f aca="false">IF(AND(C159=E159,C159=F159),"OK","FLAG")</f>
        <v>OK</v>
      </c>
    </row>
    <row r="160" customFormat="false" ht="15" hidden="false" customHeight="true" outlineLevel="0" collapsed="false">
      <c r="B160" s="27" t="s">
        <v>265</v>
      </c>
      <c r="C160" s="40" t="n">
        <f aca="false">COUNTIF(D20:D154,"&gt;0")</f>
        <v>98</v>
      </c>
      <c r="D160" s="52" t="n">
        <f aca="false">AVERAGEIF(D20:D154,"&gt;0")</f>
        <v>0.673399670427177</v>
      </c>
      <c r="E160" s="40" t="n">
        <f aca="false">Coverage_Summary!C7+Coverage_Summary!D7+Coverage_Summary!E7+Coverage_Summary!F7</f>
        <v>98</v>
      </c>
      <c r="F160" s="40" t="n">
        <f aca="false">Wording_Scores!C158</f>
        <v>98</v>
      </c>
      <c r="G160" s="40" t="str">
        <f aca="false">IF(AND(C160=E160,C160=F160),"OK","FLAG")</f>
        <v>OK</v>
      </c>
    </row>
    <row r="161" customFormat="false" ht="15" hidden="false" customHeight="true" outlineLevel="0" collapsed="false">
      <c r="B161" s="27" t="s">
        <v>266</v>
      </c>
      <c r="C161" s="40" t="n">
        <f aca="false">COUNTIF(E20:E154,"&gt;0")</f>
        <v>90</v>
      </c>
      <c r="D161" s="52" t="n">
        <f aca="false">AVERAGEIF(E20:E154,"&gt;0")</f>
        <v>0.786590752242926</v>
      </c>
      <c r="E161" s="40" t="n">
        <f aca="false">Coverage_Summary!C8+Coverage_Summary!D8+Coverage_Summary!E8+Coverage_Summary!F8</f>
        <v>90</v>
      </c>
      <c r="F161" s="40" t="n">
        <f aca="false">Wording_Scores!C159</f>
        <v>90</v>
      </c>
      <c r="G161" s="40" t="str">
        <f aca="false">IF(AND(C161=E161,C161=F161),"OK","FLAG")</f>
        <v>OK</v>
      </c>
    </row>
    <row r="162" customFormat="false" ht="15" hidden="false" customHeight="true" outlineLevel="0" collapsed="false">
      <c r="B162" s="27" t="s">
        <v>267</v>
      </c>
      <c r="C162" s="40" t="n">
        <f aca="false">COUNTIF(F20:F154,"&gt;0")</f>
        <v>109</v>
      </c>
      <c r="D162" s="52" t="n">
        <f aca="false">AVERAGEIF(F20:F154,"&gt;0")</f>
        <v>0.738469428457462</v>
      </c>
      <c r="E162" s="40" t="n">
        <f aca="false">Coverage_Summary!C9+Coverage_Summary!D9+Coverage_Summary!E9+Coverage_Summary!F9</f>
        <v>109</v>
      </c>
      <c r="F162" s="40" t="n">
        <f aca="false">Wording_Scores!C160</f>
        <v>109</v>
      </c>
      <c r="G162" s="40" t="str">
        <f aca="false">IF(AND(C162=E162,C162=F162),"OK","FLAG")</f>
        <v>OK</v>
      </c>
    </row>
    <row r="163" customFormat="false" ht="15" hidden="false" customHeight="true" outlineLevel="0" collapsed="false">
      <c r="B163" s="27" t="s">
        <v>268</v>
      </c>
      <c r="C163" s="40" t="n">
        <f aca="false">COUNTIF(G20:G154,"&gt;0")</f>
        <v>75</v>
      </c>
      <c r="D163" s="52" t="n">
        <f aca="false">AVERAGEIF(G20:G154,"&gt;0")</f>
        <v>0.773333333333333</v>
      </c>
      <c r="E163" s="40" t="n">
        <f aca="false">Coverage_Summary!C10+Coverage_Summary!D10+Coverage_Summary!E10+Coverage_Summary!F10</f>
        <v>75</v>
      </c>
      <c r="F163" s="40" t="n">
        <f aca="false">Wording_Scores!C161</f>
        <v>75</v>
      </c>
      <c r="G163" s="40" t="str">
        <f aca="false">IF(AND(C163=E163,C163=F163),"OK","FLAG")</f>
        <v>OK</v>
      </c>
    </row>
    <row r="164" customFormat="false" ht="15" hidden="false" customHeight="true" outlineLevel="0" collapsed="false">
      <c r="B164" s="18" t="s">
        <v>293</v>
      </c>
      <c r="G164" s="49" t="str">
        <f aca="false">IF(COUNTIF(G159:G163,"OK")=5,"BENEFIT_B CONSISTENT","CHECK")</f>
        <v>BENEFIT_B CONSISTENT</v>
      </c>
    </row>
    <row r="166" customFormat="false" ht="15" hidden="false" customHeight="true" outlineLevel="0" collapsed="false">
      <c r="B166" s="26" t="s">
        <v>412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2"/>
    <col collapsed="false" customWidth="true" hidden="false" outlineLevel="0" max="5" min="3" style="1" width="12"/>
    <col collapsed="false" customWidth="true" hidden="false" outlineLevel="0" max="6" min="6" style="1" width="30"/>
  </cols>
  <sheetData>
    <row r="2" customFormat="false" ht="18" hidden="false" customHeight="true" outlineLevel="0" collapsed="false">
      <c r="B2" s="16" t="s">
        <v>413</v>
      </c>
    </row>
    <row r="3" customFormat="false" ht="15" hidden="false" customHeight="true" outlineLevel="0" collapsed="false">
      <c r="B3" s="26" t="s">
        <v>414</v>
      </c>
    </row>
    <row r="5" customFormat="false" ht="15" hidden="false" customHeight="true" outlineLevel="0" collapsed="false">
      <c r="B5" s="18" t="s">
        <v>300</v>
      </c>
      <c r="C5" s="27" t="s">
        <v>415</v>
      </c>
    </row>
    <row r="7" customFormat="false" ht="15" hidden="false" customHeight="true" outlineLevel="0" collapsed="false">
      <c r="B7" s="29" t="s">
        <v>416</v>
      </c>
    </row>
    <row r="8" customFormat="false" ht="15" hidden="false" customHeight="true" outlineLevel="0" collapsed="false">
      <c r="B8" s="51" t="s">
        <v>417</v>
      </c>
      <c r="C8" s="51" t="s">
        <v>418</v>
      </c>
    </row>
    <row r="9" customFormat="false" ht="15" hidden="false" customHeight="true" outlineLevel="0" collapsed="false">
      <c r="B9" s="18" t="s">
        <v>419</v>
      </c>
      <c r="C9" s="56" t="n">
        <v>0.03</v>
      </c>
    </row>
    <row r="10" customFormat="false" ht="15" hidden="false" customHeight="true" outlineLevel="0" collapsed="false">
      <c r="B10" s="18" t="s">
        <v>81</v>
      </c>
      <c r="C10" s="39" t="n">
        <v>0.02</v>
      </c>
    </row>
    <row r="11" customFormat="false" ht="15" hidden="false" customHeight="true" outlineLevel="0" collapsed="false">
      <c r="B11" s="18" t="s">
        <v>100</v>
      </c>
      <c r="C11" s="39" t="n">
        <v>0.04</v>
      </c>
    </row>
    <row r="12" customFormat="false" ht="15" hidden="false" customHeight="true" outlineLevel="0" collapsed="false">
      <c r="B12" s="18" t="s">
        <v>420</v>
      </c>
      <c r="C12" s="36" t="n">
        <v>30</v>
      </c>
    </row>
    <row r="14" customFormat="false" ht="15" hidden="false" customHeight="true" outlineLevel="0" collapsed="false">
      <c r="B14" s="26" t="s">
        <v>421</v>
      </c>
    </row>
    <row r="16" customFormat="false" ht="15" hidden="false" customHeight="true" outlineLevel="0" collapsed="false">
      <c r="B16" s="51" t="s">
        <v>422</v>
      </c>
      <c r="C16" s="51" t="s">
        <v>423</v>
      </c>
      <c r="D16" s="51" t="s">
        <v>424</v>
      </c>
      <c r="E16" s="51" t="s">
        <v>425</v>
      </c>
    </row>
    <row r="17" customFormat="false" ht="15" hidden="false" customHeight="true" outlineLevel="0" collapsed="false">
      <c r="B17" s="51" t="s">
        <v>422</v>
      </c>
      <c r="C17" s="51" t="s">
        <v>423</v>
      </c>
      <c r="D17" s="51" t="s">
        <v>424</v>
      </c>
      <c r="E17" s="51" t="s">
        <v>425</v>
      </c>
    </row>
    <row r="18" customFormat="false" ht="15" hidden="false" customHeight="true" outlineLevel="0" collapsed="false">
      <c r="B18" s="40" t="n">
        <v>1</v>
      </c>
      <c r="C18" s="57" t="n">
        <f aca="false">(1+$C$9)^(-B18)</f>
        <v>0.970873786407767</v>
      </c>
      <c r="D18" s="57" t="n">
        <f aca="false">(1+$C$10)^(-B18)</f>
        <v>0.980392156862745</v>
      </c>
      <c r="E18" s="57" t="n">
        <f aca="false">(1+$C$11)^(-B18)</f>
        <v>0.961538461538462</v>
      </c>
    </row>
    <row r="19" customFormat="false" ht="15" hidden="false" customHeight="true" outlineLevel="0" collapsed="false">
      <c r="B19" s="40" t="n">
        <v>2</v>
      </c>
      <c r="C19" s="57" t="n">
        <f aca="false">(1+$C$9)^(-B19)</f>
        <v>0.942595909133754</v>
      </c>
      <c r="D19" s="57" t="n">
        <f aca="false">(1+$C$10)^(-B19)</f>
        <v>0.961168781237985</v>
      </c>
      <c r="E19" s="57" t="n">
        <f aca="false">(1+$C$11)^(-B19)</f>
        <v>0.924556213017751</v>
      </c>
    </row>
    <row r="20" customFormat="false" ht="15" hidden="false" customHeight="true" outlineLevel="0" collapsed="false">
      <c r="B20" s="40" t="n">
        <v>3</v>
      </c>
      <c r="C20" s="57" t="n">
        <f aca="false">(1+$C$9)^(-B20)</f>
        <v>0.91514165935316</v>
      </c>
      <c r="D20" s="57" t="n">
        <f aca="false">(1+$C$10)^(-B20)</f>
        <v>0.942322334547045</v>
      </c>
      <c r="E20" s="57" t="n">
        <f aca="false">(1+$C$11)^(-B20)</f>
        <v>0.888996358670915</v>
      </c>
    </row>
    <row r="21" customFormat="false" ht="15" hidden="false" customHeight="true" outlineLevel="0" collapsed="false">
      <c r="B21" s="40" t="n">
        <v>4</v>
      </c>
      <c r="C21" s="57" t="n">
        <f aca="false">(1+$C$9)^(-B21)</f>
        <v>0.888487047915689</v>
      </c>
      <c r="D21" s="57" t="n">
        <f aca="false">(1+$C$10)^(-B21)</f>
        <v>0.923845426026514</v>
      </c>
      <c r="E21" s="57" t="n">
        <f aca="false">(1+$C$11)^(-B21)</f>
        <v>0.854804191029726</v>
      </c>
    </row>
    <row r="22" customFormat="false" ht="15" hidden="false" customHeight="true" outlineLevel="0" collapsed="false">
      <c r="B22" s="40" t="n">
        <v>5</v>
      </c>
      <c r="C22" s="57" t="n">
        <f aca="false">(1+$C$9)^(-B22)</f>
        <v>0.862608784384164</v>
      </c>
      <c r="D22" s="57" t="n">
        <f aca="false">(1+$C$10)^(-B22)</f>
        <v>0.905730809829916</v>
      </c>
      <c r="E22" s="57" t="n">
        <f aca="false">(1+$C$11)^(-B22)</f>
        <v>0.821927106759352</v>
      </c>
    </row>
    <row r="23" customFormat="false" ht="15" hidden="false" customHeight="true" outlineLevel="0" collapsed="false">
      <c r="B23" s="40" t="n">
        <v>6</v>
      </c>
      <c r="C23" s="57" t="n">
        <f aca="false">(1+$C$9)^(-B23)</f>
        <v>0.837484256683654</v>
      </c>
      <c r="D23" s="57" t="n">
        <f aca="false">(1+$C$10)^(-B23)</f>
        <v>0.887971382186192</v>
      </c>
      <c r="E23" s="57" t="n">
        <f aca="false">(1+$C$11)^(-B23)</f>
        <v>0.790314525730146</v>
      </c>
    </row>
    <row r="24" customFormat="false" ht="15" hidden="false" customHeight="true" outlineLevel="0" collapsed="false">
      <c r="B24" s="40" t="n">
        <v>7</v>
      </c>
      <c r="C24" s="57" t="n">
        <f aca="false">(1+$C$9)^(-B24)</f>
        <v>0.813091511343354</v>
      </c>
      <c r="D24" s="57" t="n">
        <f aca="false">(1+$C$10)^(-B24)</f>
        <v>0.870560178613914</v>
      </c>
      <c r="E24" s="57" t="n">
        <f aca="false">(1+$C$11)^(-B24)</f>
        <v>0.759917813202063</v>
      </c>
    </row>
    <row r="25" customFormat="false" ht="15" hidden="false" customHeight="true" outlineLevel="0" collapsed="false">
      <c r="B25" s="40" t="n">
        <v>8</v>
      </c>
      <c r="C25" s="57" t="n">
        <f aca="false">(1+$C$9)^(-B25)</f>
        <v>0.789409234313936</v>
      </c>
      <c r="D25" s="57" t="n">
        <f aca="false">(1+$C$10)^(-B25)</f>
        <v>0.853490371190111</v>
      </c>
      <c r="E25" s="57" t="n">
        <f aca="false">(1+$C$11)^(-B25)</f>
        <v>0.730690205001984</v>
      </c>
    </row>
    <row r="26" customFormat="false" ht="15" hidden="false" customHeight="true" outlineLevel="0" collapsed="false">
      <c r="B26" s="40" t="n">
        <v>9</v>
      </c>
      <c r="C26" s="57" t="n">
        <f aca="false">(1+$C$9)^(-B26)</f>
        <v>0.766416732343627</v>
      </c>
      <c r="D26" s="57" t="n">
        <f aca="false">(1+$C$10)^(-B26)</f>
        <v>0.836755265872658</v>
      </c>
      <c r="E26" s="57" t="n">
        <f aca="false">(1+$C$11)^(-B26)</f>
        <v>0.702586735578831</v>
      </c>
    </row>
    <row r="27" customFormat="false" ht="15" hidden="false" customHeight="true" outlineLevel="0" collapsed="false">
      <c r="B27" s="40" t="n">
        <v>10</v>
      </c>
      <c r="C27" s="57" t="n">
        <f aca="false">(1+$C$9)^(-B27)</f>
        <v>0.744093914896725</v>
      </c>
      <c r="D27" s="57" t="n">
        <f aca="false">(1+$C$10)^(-B27)</f>
        <v>0.820348299875155</v>
      </c>
      <c r="E27" s="57" t="n">
        <f aca="false">(1+$C$11)^(-B27)</f>
        <v>0.675564168825799</v>
      </c>
    </row>
    <row r="28" customFormat="false" ht="15" hidden="false" customHeight="true" outlineLevel="0" collapsed="false">
      <c r="B28" s="40" t="n">
        <v>11</v>
      </c>
      <c r="C28" s="57" t="n">
        <f aca="false">(1+$C$9)^(-B28)</f>
        <v>0.722421276598762</v>
      </c>
      <c r="D28" s="57" t="n">
        <f aca="false">(1+$C$10)^(-B28)</f>
        <v>0.804263039093289</v>
      </c>
      <c r="E28" s="57" t="n">
        <f aca="false">(1+$C$11)^(-B28)</f>
        <v>0.649580931563268</v>
      </c>
    </row>
    <row r="29" customFormat="false" ht="15" hidden="false" customHeight="true" outlineLevel="0" collapsed="false">
      <c r="B29" s="40" t="n">
        <v>12</v>
      </c>
      <c r="C29" s="57" t="n">
        <f aca="false">(1+$C$9)^(-B29)</f>
        <v>0.701379880192973</v>
      </c>
      <c r="D29" s="57" t="n">
        <f aca="false">(1+$C$10)^(-B29)</f>
        <v>0.788493175581656</v>
      </c>
      <c r="E29" s="57" t="n">
        <f aca="false">(1+$C$11)^(-B29)</f>
        <v>0.624597049580065</v>
      </c>
    </row>
    <row r="30" customFormat="false" ht="15" hidden="false" customHeight="true" outlineLevel="0" collapsed="false">
      <c r="B30" s="40" t="n">
        <v>13</v>
      </c>
      <c r="C30" s="57" t="n">
        <f aca="false">(1+$C$9)^(-B30)</f>
        <v>0.680951339993178</v>
      </c>
      <c r="D30" s="57" t="n">
        <f aca="false">(1+$C$10)^(-B30)</f>
        <v>0.773032525080055</v>
      </c>
      <c r="E30" s="57" t="n">
        <f aca="false">(1+$C$11)^(-B30)</f>
        <v>0.600574086134678</v>
      </c>
    </row>
    <row r="31" customFormat="false" ht="15" hidden="false" customHeight="true" outlineLevel="0" collapsed="false">
      <c r="B31" s="40" t="n">
        <v>14</v>
      </c>
      <c r="C31" s="57" t="n">
        <f aca="false">(1+$C$9)^(-B31)</f>
        <v>0.661117805818619</v>
      </c>
      <c r="D31" s="57" t="n">
        <f aca="false">(1+$C$10)^(-B31)</f>
        <v>0.757875024588289</v>
      </c>
      <c r="E31" s="57" t="n">
        <f aca="false">(1+$C$11)^(-B31)</f>
        <v>0.577475082821806</v>
      </c>
    </row>
    <row r="32" customFormat="false" ht="15" hidden="false" customHeight="true" outlineLevel="0" collapsed="false">
      <c r="B32" s="40" t="n">
        <v>15</v>
      </c>
      <c r="C32" s="57" t="n">
        <f aca="false">(1+$C$9)^(-B32)</f>
        <v>0.641861947396717</v>
      </c>
      <c r="D32" s="57" t="n">
        <f aca="false">(1+$C$10)^(-B32)</f>
        <v>0.743014729988519</v>
      </c>
      <c r="E32" s="57" t="n">
        <f aca="false">(1+$C$11)^(-B32)</f>
        <v>0.555264502713275</v>
      </c>
    </row>
    <row r="33" customFormat="false" ht="15" hidden="false" customHeight="true" outlineLevel="0" collapsed="false">
      <c r="B33" s="40" t="n">
        <v>16</v>
      </c>
      <c r="C33" s="57" t="n">
        <f aca="false">(1+$C$9)^(-B33)</f>
        <v>0.623166939220114</v>
      </c>
      <c r="D33" s="57" t="n">
        <f aca="false">(1+$C$10)^(-B33)</f>
        <v>0.728445813714234</v>
      </c>
      <c r="E33" s="57" t="n">
        <f aca="false">(1+$C$11)^(-B33)</f>
        <v>0.533908175685841</v>
      </c>
    </row>
    <row r="34" customFormat="false" ht="15" hidden="false" customHeight="true" outlineLevel="0" collapsed="false">
      <c r="B34" s="40" t="n">
        <v>17</v>
      </c>
      <c r="C34" s="57" t="n">
        <f aca="false">(1+$C$9)^(-B34)</f>
        <v>0.605016445844771</v>
      </c>
      <c r="D34" s="57" t="n">
        <f aca="false">(1+$C$10)^(-B34)</f>
        <v>0.714162562464936</v>
      </c>
      <c r="E34" s="57" t="n">
        <f aca="false">(1+$C$11)^(-B34)</f>
        <v>0.51337324585177</v>
      </c>
    </row>
    <row r="35" customFormat="false" ht="15" hidden="false" customHeight="true" outlineLevel="0" collapsed="false">
      <c r="B35" s="40" t="n">
        <v>18</v>
      </c>
      <c r="C35" s="57" t="n">
        <f aca="false">(1+$C$9)^(-B35)</f>
        <v>0.587394607616282</v>
      </c>
      <c r="D35" s="57" t="n">
        <f aca="false">(1+$C$10)^(-B35)</f>
        <v>0.700159374965623</v>
      </c>
      <c r="E35" s="57" t="n">
        <f aca="false">(1+$C$11)^(-B35)</f>
        <v>0.493628121011318</v>
      </c>
    </row>
    <row r="36" customFormat="false" ht="15" hidden="false" customHeight="true" outlineLevel="0" collapsed="false">
      <c r="B36" s="40" t="n">
        <v>19</v>
      </c>
      <c r="C36" s="57" t="n">
        <f aca="false">(1+$C$9)^(-B36)</f>
        <v>0.570286026811925</v>
      </c>
      <c r="D36" s="57" t="n">
        <f aca="false">(1+$C$10)^(-B36)</f>
        <v>0.686430759770219</v>
      </c>
      <c r="E36" s="57" t="n">
        <f aca="false">(1+$C$11)^(-B36)</f>
        <v>0.474642424049344</v>
      </c>
    </row>
    <row r="37" customFormat="false" ht="15" hidden="false" customHeight="true" outlineLevel="0" collapsed="false">
      <c r="B37" s="40" t="n">
        <v>20</v>
      </c>
      <c r="C37" s="57" t="n">
        <f aca="false">(1+$C$9)^(-B37)</f>
        <v>0.553675754186335</v>
      </c>
      <c r="D37" s="57" t="n">
        <f aca="false">(1+$C$10)^(-B37)</f>
        <v>0.672971333108058</v>
      </c>
      <c r="E37" s="57" t="n">
        <f aca="false">(1+$C$11)^(-B37)</f>
        <v>0.456386946201292</v>
      </c>
    </row>
    <row r="38" customFormat="false" ht="15" hidden="false" customHeight="true" outlineLevel="0" collapsed="false">
      <c r="B38" s="40" t="n">
        <v>21</v>
      </c>
      <c r="C38" s="57" t="n">
        <f aca="false">(1+$C$9)^(-B38)</f>
        <v>0.537549275909063</v>
      </c>
      <c r="D38" s="57" t="n">
        <f aca="false">(1+$C$10)^(-B38)</f>
        <v>0.659775816772605</v>
      </c>
      <c r="E38" s="57" t="n">
        <f aca="false">(1+$C$11)^(-B38)</f>
        <v>0.438833602116627</v>
      </c>
    </row>
    <row r="39" customFormat="false" ht="15" hidden="false" customHeight="true" outlineLevel="0" collapsed="false">
      <c r="B39" s="40" t="n">
        <v>22</v>
      </c>
      <c r="C39" s="57" t="n">
        <f aca="false">(1+$C$9)^(-B39)</f>
        <v>0.521892500882585</v>
      </c>
      <c r="D39" s="57" t="n">
        <f aca="false">(1+$C$10)^(-B39)</f>
        <v>0.646839036051574</v>
      </c>
      <c r="E39" s="57" t="n">
        <f aca="false">(1+$C$11)^(-B39)</f>
        <v>0.421955386650603</v>
      </c>
    </row>
    <row r="40" customFormat="false" ht="15" hidden="false" customHeight="true" outlineLevel="0" collapsed="false">
      <c r="B40" s="40" t="n">
        <v>23</v>
      </c>
      <c r="C40" s="57" t="n">
        <f aca="false">(1+$C$9)^(-B40)</f>
        <v>0.506691748429694</v>
      </c>
      <c r="D40" s="57" t="n">
        <f aca="false">(1+$C$10)^(-B40)</f>
        <v>0.634155917697621</v>
      </c>
      <c r="E40" s="57" t="n">
        <f aca="false">(1+$C$11)^(-B40)</f>
        <v>0.405726333317887</v>
      </c>
    </row>
    <row r="41" customFormat="false" ht="15" hidden="false" customHeight="true" outlineLevel="0" collapsed="false">
      <c r="B41" s="40" t="n">
        <v>24</v>
      </c>
      <c r="C41" s="57" t="n">
        <f aca="false">(1+$C$9)^(-B41)</f>
        <v>0.491933736339509</v>
      </c>
      <c r="D41" s="57" t="n">
        <f aca="false">(1+$C$10)^(-B41)</f>
        <v>0.621721487938845</v>
      </c>
      <c r="E41" s="57" t="n">
        <f aca="false">(1+$C$11)^(-B41)</f>
        <v>0.390121474344123</v>
      </c>
    </row>
    <row r="42" customFormat="false" ht="15" hidden="false" customHeight="true" outlineLevel="0" collapsed="false">
      <c r="B42" s="40" t="n">
        <v>25</v>
      </c>
      <c r="C42" s="57" t="n">
        <f aca="false">(1+$C$9)^(-B42)</f>
        <v>0.477605569261659</v>
      </c>
      <c r="D42" s="57" t="n">
        <f aca="false">(1+$C$10)^(-B42)</f>
        <v>0.609530870528279</v>
      </c>
      <c r="E42" s="57" t="n">
        <f aca="false">(1+$C$11)^(-B42)</f>
        <v>0.375116802253964</v>
      </c>
    </row>
    <row r="43" customFormat="false" ht="15" hidden="false" customHeight="true" outlineLevel="0" collapsed="false">
      <c r="B43" s="40" t="n">
        <v>26</v>
      </c>
      <c r="C43" s="57" t="n">
        <f aca="false">(1+$C$9)^(-B43)</f>
        <v>0.463694727438504</v>
      </c>
      <c r="D43" s="57" t="n">
        <f aca="false">(1+$C$10)^(-B43)</f>
        <v>0.597579284831646</v>
      </c>
      <c r="E43" s="57" t="n">
        <f aca="false">(1+$C$11)^(-B43)</f>
        <v>0.360689232936504</v>
      </c>
    </row>
    <row r="44" customFormat="false" ht="15" hidden="false" customHeight="true" outlineLevel="0" collapsed="false">
      <c r="B44" s="40" t="n">
        <v>27</v>
      </c>
      <c r="C44" s="57" t="n">
        <f aca="false">(1+$C$9)^(-B44)</f>
        <v>0.450189055765538</v>
      </c>
      <c r="D44" s="57" t="n">
        <f aca="false">(1+$C$10)^(-B44)</f>
        <v>0.585862043952594</v>
      </c>
      <c r="E44" s="57" t="n">
        <f aca="false">(1+$C$11)^(-B44)</f>
        <v>0.346816570131254</v>
      </c>
    </row>
    <row r="45" customFormat="false" ht="15" hidden="false" customHeight="true" outlineLevel="0" collapsed="false">
      <c r="B45" s="40" t="n">
        <v>28</v>
      </c>
      <c r="C45" s="57" t="n">
        <f aca="false">(1+$C$9)^(-B45)</f>
        <v>0.437076753170425</v>
      </c>
      <c r="D45" s="57" t="n">
        <f aca="false">(1+$C$10)^(-B45)</f>
        <v>0.5743745528947</v>
      </c>
      <c r="E45" s="57" t="n">
        <f aca="false">(1+$C$11)^(-B45)</f>
        <v>0.333477471280052</v>
      </c>
    </row>
    <row r="46" customFormat="false" ht="15" hidden="false" customHeight="true" outlineLevel="0" collapsed="false">
      <c r="B46" s="40" t="n">
        <v>29</v>
      </c>
      <c r="C46" s="57" t="n">
        <f aca="false">(1+$C$9)^(-B46)</f>
        <v>0.424346362301384</v>
      </c>
      <c r="D46" s="57" t="n">
        <f aca="false">(1+$C$10)^(-B46)</f>
        <v>0.56311230675951</v>
      </c>
      <c r="E46" s="57" t="n">
        <f aca="false">(1+$C$11)^(-B46)</f>
        <v>0.320651414692357</v>
      </c>
    </row>
    <row r="47" customFormat="false" ht="15" hidden="false" customHeight="true" outlineLevel="0" collapsed="false">
      <c r="B47" s="40" t="n">
        <v>30</v>
      </c>
      <c r="C47" s="57" t="n">
        <f aca="false">(1+$C$9)^(-B47)</f>
        <v>0.411986759515906</v>
      </c>
      <c r="D47" s="57" t="n">
        <f aca="false">(1+$C$10)^(-B47)</f>
        <v>0.552070888979912</v>
      </c>
      <c r="E47" s="57" t="n">
        <f aca="false">(1+$C$11)^(-B47)</f>
        <v>0.30831866797342</v>
      </c>
    </row>
    <row r="49" customFormat="false" ht="15" hidden="false" customHeight="true" outlineLevel="0" collapsed="false">
      <c r="B49" s="26" t="s">
        <v>426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6"/>
    <col collapsed="false" customWidth="true" hidden="false" outlineLevel="0" max="3" min="3" style="1" width="13"/>
    <col collapsed="false" customWidth="true" hidden="false" outlineLevel="0" max="7" min="4" style="1" width="15"/>
    <col collapsed="false" customWidth="true" hidden="false" outlineLevel="0" max="8" min="8" style="1" width="14"/>
  </cols>
  <sheetData>
    <row r="2" customFormat="false" ht="18" hidden="false" customHeight="true" outlineLevel="0" collapsed="false">
      <c r="B2" s="16" t="s">
        <v>427</v>
      </c>
    </row>
    <row r="3" customFormat="false" ht="15" hidden="false" customHeight="true" outlineLevel="0" collapsed="false">
      <c r="B3" s="26" t="s">
        <v>428</v>
      </c>
    </row>
    <row r="5" customFormat="false" ht="15" hidden="false" customHeight="true" outlineLevel="0" collapsed="false">
      <c r="B5" s="18" t="s">
        <v>298</v>
      </c>
      <c r="C5" s="27" t="s">
        <v>429</v>
      </c>
    </row>
    <row r="6" customFormat="false" ht="15" hidden="false" customHeight="true" outlineLevel="0" collapsed="false">
      <c r="B6" s="18" t="s">
        <v>300</v>
      </c>
      <c r="C6" s="27" t="s">
        <v>430</v>
      </c>
    </row>
    <row r="8" customFormat="false" ht="15" hidden="false" customHeight="true" outlineLevel="0" collapsed="false">
      <c r="B8" s="18" t="s">
        <v>431</v>
      </c>
      <c r="C8" s="27" t="s">
        <v>432</v>
      </c>
    </row>
    <row r="9" customFormat="false" ht="15" hidden="false" customHeight="true" outlineLevel="0" collapsed="false">
      <c r="B9" s="18" t="s">
        <v>433</v>
      </c>
      <c r="C9" s="27" t="s">
        <v>434</v>
      </c>
    </row>
    <row r="10" customFormat="false" ht="15" hidden="false" customHeight="true" outlineLevel="0" collapsed="false">
      <c r="B10" s="18" t="s">
        <v>435</v>
      </c>
      <c r="C10" s="27" t="s">
        <v>436</v>
      </c>
    </row>
    <row r="12" customFormat="false" ht="23.25" hidden="false" customHeight="true" outlineLevel="0" collapsed="false">
      <c r="B12" s="51" t="s">
        <v>259</v>
      </c>
      <c r="C12" s="51" t="s">
        <v>437</v>
      </c>
      <c r="D12" s="51" t="s">
        <v>438</v>
      </c>
      <c r="E12" s="51" t="s">
        <v>439</v>
      </c>
      <c r="F12" s="51" t="s">
        <v>440</v>
      </c>
      <c r="G12" s="51" t="s">
        <v>441</v>
      </c>
      <c r="H12" s="51" t="s">
        <v>442</v>
      </c>
    </row>
    <row r="13" customFormat="false" ht="15" hidden="false" customHeight="true" outlineLevel="0" collapsed="false">
      <c r="B13" s="27" t="s">
        <v>267</v>
      </c>
      <c r="C13" s="58" t="n">
        <v>33.16</v>
      </c>
      <c r="D13" s="58" t="n">
        <v>104.98</v>
      </c>
      <c r="E13" s="58" t="n">
        <v>176.91</v>
      </c>
      <c r="F13" s="59" t="n">
        <f aca="false">D13-C13</f>
        <v>71.82</v>
      </c>
      <c r="G13" s="60" t="n">
        <f aca="false">E13-C13</f>
        <v>143.75</v>
      </c>
      <c r="H13" s="60" t="n">
        <f aca="false">F13*12</f>
        <v>861.84</v>
      </c>
    </row>
    <row r="14" customFormat="false" ht="15" hidden="false" customHeight="true" outlineLevel="0" collapsed="false">
      <c r="B14" s="27" t="s">
        <v>264</v>
      </c>
      <c r="C14" s="58" t="n">
        <v>31.99</v>
      </c>
      <c r="D14" s="58" t="n">
        <v>106.4</v>
      </c>
      <c r="E14" s="58" t="n">
        <v>184.66</v>
      </c>
      <c r="F14" s="59" t="n">
        <f aca="false">D14-C14</f>
        <v>74.41</v>
      </c>
      <c r="G14" s="60" t="n">
        <f aca="false">E14-C14</f>
        <v>152.67</v>
      </c>
      <c r="H14" s="60" t="n">
        <f aca="false">F14*12</f>
        <v>892.92</v>
      </c>
    </row>
    <row r="15" customFormat="false" ht="15" hidden="false" customHeight="true" outlineLevel="0" collapsed="false">
      <c r="B15" s="27" t="s">
        <v>265</v>
      </c>
      <c r="C15" s="58" t="n">
        <v>34.58</v>
      </c>
      <c r="D15" s="58" t="n">
        <v>111.2</v>
      </c>
      <c r="E15" s="58" t="n">
        <v>187.39</v>
      </c>
      <c r="F15" s="59" t="n">
        <f aca="false">D15-C15</f>
        <v>76.62</v>
      </c>
      <c r="G15" s="60" t="n">
        <f aca="false">E15-C15</f>
        <v>152.81</v>
      </c>
      <c r="H15" s="60" t="n">
        <f aca="false">F15*12</f>
        <v>919.44</v>
      </c>
    </row>
    <row r="16" customFormat="false" ht="15" hidden="false" customHeight="true" outlineLevel="0" collapsed="false">
      <c r="B16" s="27" t="s">
        <v>266</v>
      </c>
      <c r="C16" s="58" t="n">
        <v>32.81</v>
      </c>
      <c r="D16" s="58" t="n">
        <v>109.83</v>
      </c>
      <c r="E16" s="58" t="n">
        <v>186.86</v>
      </c>
      <c r="F16" s="59" t="n">
        <f aca="false">D16-C16</f>
        <v>77.02</v>
      </c>
      <c r="G16" s="60" t="n">
        <f aca="false">E16-C16</f>
        <v>154.05</v>
      </c>
      <c r="H16" s="60" t="n">
        <f aca="false">F16*12</f>
        <v>924.24</v>
      </c>
    </row>
    <row r="17" customFormat="false" ht="15" hidden="false" customHeight="true" outlineLevel="0" collapsed="false">
      <c r="B17" s="27" t="s">
        <v>268</v>
      </c>
      <c r="C17" s="58" t="n">
        <v>32.9</v>
      </c>
      <c r="D17" s="58" t="n">
        <v>110.58</v>
      </c>
      <c r="E17" s="58" t="n">
        <v>188</v>
      </c>
      <c r="F17" s="59" t="n">
        <f aca="false">D17-C17</f>
        <v>77.68</v>
      </c>
      <c r="G17" s="60" t="n">
        <f aca="false">E17-C17</f>
        <v>155.1</v>
      </c>
      <c r="H17" s="60" t="n">
        <f aca="false">F17*12</f>
        <v>932.16</v>
      </c>
    </row>
    <row r="18" customFormat="false" ht="15" hidden="false" customHeight="true" outlineLevel="0" collapsed="false">
      <c r="B18" s="26" t="s">
        <v>443</v>
      </c>
    </row>
    <row r="19" customFormat="false" ht="15" hidden="false" customHeight="true" outlineLevel="0" collapsed="false">
      <c r="B19" s="26" t="s">
        <v>444</v>
      </c>
    </row>
    <row r="20" customFormat="false" ht="15" hidden="false" customHeight="true" outlineLevel="0" collapsed="false">
      <c r="B20" s="26" t="s">
        <v>445</v>
      </c>
    </row>
    <row r="21" customFormat="false" ht="15" hidden="false" customHeight="true" outlineLevel="0" collapsed="false">
      <c r="B21" s="53" t="s">
        <v>446</v>
      </c>
    </row>
    <row r="23" customFormat="false" ht="15" hidden="false" customHeight="true" outlineLevel="0" collapsed="false">
      <c r="B23" s="29" t="s">
        <v>447</v>
      </c>
    </row>
    <row r="24" customFormat="false" ht="15" hidden="false" customHeight="true" outlineLevel="0" collapsed="false">
      <c r="B24" s="26" t="s">
        <v>448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2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0"/>
    <col collapsed="false" customWidth="true" hidden="false" outlineLevel="0" max="3" min="3" style="1" width="15"/>
    <col collapsed="false" customWidth="true" hidden="false" outlineLevel="0" max="4" min="4" style="1" width="5"/>
    <col collapsed="false" customWidth="true" hidden="false" outlineLevel="0" max="6" min="5" style="1" width="8"/>
    <col collapsed="false" customWidth="true" hidden="false" outlineLevel="0" max="7" min="7" style="1" width="14"/>
    <col collapsed="false" customWidth="true" hidden="false" outlineLevel="0" max="8" min="8" style="1" width="12"/>
    <col collapsed="false" customWidth="true" hidden="false" outlineLevel="0" max="9" min="9" style="1" width="9"/>
    <col collapsed="false" customWidth="true" hidden="false" outlineLevel="0" max="10" min="10" style="1" width="20"/>
  </cols>
  <sheetData>
    <row r="2" customFormat="false" ht="18" hidden="false" customHeight="true" outlineLevel="0" collapsed="false">
      <c r="B2" s="16" t="s">
        <v>449</v>
      </c>
    </row>
    <row r="3" customFormat="false" ht="15" hidden="false" customHeight="true" outlineLevel="0" collapsed="false">
      <c r="B3" s="61" t="s">
        <v>450</v>
      </c>
    </row>
    <row r="5" customFormat="false" ht="15" hidden="false" customHeight="true" outlineLevel="0" collapsed="false">
      <c r="B5" s="18" t="s">
        <v>298</v>
      </c>
      <c r="C5" s="27" t="s">
        <v>451</v>
      </c>
    </row>
    <row r="6" customFormat="false" ht="15" hidden="false" customHeight="true" outlineLevel="0" collapsed="false">
      <c r="B6" s="18" t="s">
        <v>300</v>
      </c>
      <c r="C6" s="27" t="s">
        <v>452</v>
      </c>
    </row>
    <row r="8" customFormat="false" ht="15" hidden="false" customHeight="true" outlineLevel="0" collapsed="false">
      <c r="B8" s="51" t="s">
        <v>453</v>
      </c>
      <c r="C8" s="51" t="s">
        <v>307</v>
      </c>
      <c r="D8" s="51" t="s">
        <v>454</v>
      </c>
      <c r="E8" s="51" t="s">
        <v>455</v>
      </c>
      <c r="F8" s="51" t="s">
        <v>456</v>
      </c>
      <c r="G8" s="51" t="s">
        <v>457</v>
      </c>
      <c r="H8" s="51" t="s">
        <v>458</v>
      </c>
      <c r="I8" s="51" t="s">
        <v>459</v>
      </c>
      <c r="J8" s="51" t="s">
        <v>460</v>
      </c>
    </row>
    <row r="9" customFormat="false" ht="15" hidden="false" customHeight="true" outlineLevel="0" collapsed="false">
      <c r="B9" s="62" t="s">
        <v>336</v>
      </c>
      <c r="J9" s="63" t="s">
        <v>461</v>
      </c>
    </row>
    <row r="10" customFormat="false" ht="15" hidden="false" customHeight="true" outlineLevel="0" collapsed="false">
      <c r="B10" s="64" t="s">
        <v>336</v>
      </c>
      <c r="C10" s="65" t="s">
        <v>462</v>
      </c>
      <c r="D10" s="65" t="s">
        <v>463</v>
      </c>
      <c r="E10" s="65" t="n">
        <v>30</v>
      </c>
      <c r="F10" s="65" t="n">
        <v>34</v>
      </c>
      <c r="G10" s="50" t="n">
        <v>63.16</v>
      </c>
      <c r="H10" s="66" t="n">
        <f aca="false">1-EXP(-G10/100000)</f>
        <v>0.000631400582706165</v>
      </c>
      <c r="I10" s="67" t="n">
        <v>310</v>
      </c>
    </row>
    <row r="11" customFormat="false" ht="15" hidden="false" customHeight="true" outlineLevel="0" collapsed="false">
      <c r="B11" s="64" t="s">
        <v>336</v>
      </c>
      <c r="C11" s="65" t="s">
        <v>462</v>
      </c>
      <c r="D11" s="65" t="s">
        <v>463</v>
      </c>
      <c r="E11" s="65" t="n">
        <v>35</v>
      </c>
      <c r="F11" s="65" t="n">
        <v>39</v>
      </c>
      <c r="G11" s="50" t="n">
        <v>90.17</v>
      </c>
      <c r="H11" s="66" t="n">
        <f aca="false">1-EXP(-G11/100000)</f>
        <v>0.000901293590717223</v>
      </c>
      <c r="I11" s="67" t="n">
        <v>523</v>
      </c>
    </row>
    <row r="12" customFormat="false" ht="15" hidden="false" customHeight="true" outlineLevel="0" collapsed="false">
      <c r="B12" s="64" t="s">
        <v>336</v>
      </c>
      <c r="C12" s="65" t="s">
        <v>462</v>
      </c>
      <c r="D12" s="65" t="s">
        <v>463</v>
      </c>
      <c r="E12" s="65" t="n">
        <v>40</v>
      </c>
      <c r="F12" s="65" t="n">
        <v>44</v>
      </c>
      <c r="G12" s="50" t="n">
        <v>134.77</v>
      </c>
      <c r="H12" s="66" t="n">
        <f aca="false">1-EXP(-G12/100000)</f>
        <v>0.00134679226018775</v>
      </c>
      <c r="I12" s="67" t="n">
        <v>742</v>
      </c>
    </row>
    <row r="13" customFormat="false" ht="15" hidden="false" customHeight="true" outlineLevel="0" collapsed="false">
      <c r="B13" s="64" t="s">
        <v>336</v>
      </c>
      <c r="C13" s="65" t="s">
        <v>462</v>
      </c>
      <c r="D13" s="65" t="s">
        <v>463</v>
      </c>
      <c r="E13" s="65" t="n">
        <v>45</v>
      </c>
      <c r="F13" s="65" t="n">
        <v>49</v>
      </c>
      <c r="G13" s="50" t="n">
        <v>226.4</v>
      </c>
      <c r="H13" s="66" t="n">
        <f aca="false">1-EXP(-G13/100000)</f>
        <v>0.00226143908500176</v>
      </c>
      <c r="I13" s="67" t="n">
        <v>1166</v>
      </c>
    </row>
    <row r="14" customFormat="false" ht="15" hidden="false" customHeight="true" outlineLevel="0" collapsed="false">
      <c r="B14" s="64" t="s">
        <v>336</v>
      </c>
      <c r="C14" s="65" t="s">
        <v>462</v>
      </c>
      <c r="D14" s="65" t="s">
        <v>463</v>
      </c>
      <c r="E14" s="65" t="n">
        <v>50</v>
      </c>
      <c r="F14" s="65" t="n">
        <v>54</v>
      </c>
      <c r="G14" s="50" t="n">
        <v>474.56</v>
      </c>
      <c r="H14" s="66" t="n">
        <f aca="false">1-EXP(-G14/100000)</f>
        <v>0.004734357431595</v>
      </c>
      <c r="I14" s="67" t="n">
        <v>2181</v>
      </c>
    </row>
    <row r="15" customFormat="false" ht="15" hidden="false" customHeight="true" outlineLevel="0" collapsed="false">
      <c r="B15" s="64" t="s">
        <v>336</v>
      </c>
      <c r="C15" s="65" t="s">
        <v>462</v>
      </c>
      <c r="D15" s="65" t="s">
        <v>463</v>
      </c>
      <c r="E15" s="65" t="n">
        <v>55</v>
      </c>
      <c r="F15" s="65" t="n">
        <v>59</v>
      </c>
      <c r="G15" s="50" t="n">
        <v>869.99</v>
      </c>
      <c r="H15" s="66" t="n">
        <f aca="false">1-EXP(-G15/100000)</f>
        <v>0.0086621653784289</v>
      </c>
      <c r="I15" s="67" t="n">
        <v>3633</v>
      </c>
    </row>
    <row r="16" customFormat="false" ht="15" hidden="false" customHeight="true" outlineLevel="0" collapsed="false">
      <c r="B16" s="64" t="s">
        <v>336</v>
      </c>
      <c r="C16" s="65" t="s">
        <v>462</v>
      </c>
      <c r="D16" s="65" t="s">
        <v>463</v>
      </c>
      <c r="E16" s="65" t="n">
        <v>60</v>
      </c>
      <c r="F16" s="65" t="n">
        <v>64</v>
      </c>
      <c r="G16" s="50" t="n">
        <v>1373.22</v>
      </c>
      <c r="H16" s="66" t="n">
        <f aca="false">1-EXP(-G16/100000)</f>
        <v>0.0136383434517279</v>
      </c>
      <c r="I16" s="67" t="n">
        <v>5094</v>
      </c>
    </row>
    <row r="17" customFormat="false" ht="15" hidden="false" customHeight="true" outlineLevel="0" collapsed="false">
      <c r="B17" s="64" t="s">
        <v>336</v>
      </c>
      <c r="C17" s="65" t="s">
        <v>462</v>
      </c>
      <c r="D17" s="65" t="s">
        <v>463</v>
      </c>
      <c r="E17" s="65" t="n">
        <v>65</v>
      </c>
      <c r="F17" s="65" t="n">
        <v>69</v>
      </c>
      <c r="G17" s="50" t="n">
        <v>2029.03</v>
      </c>
      <c r="H17" s="66" t="n">
        <f aca="false">1-EXP(-G17/100000)</f>
        <v>0.0200858370694265</v>
      </c>
      <c r="I17" s="67" t="n">
        <v>6551</v>
      </c>
    </row>
    <row r="18" customFormat="false" ht="15" hidden="false" customHeight="true" outlineLevel="0" collapsed="false">
      <c r="B18" s="64" t="s">
        <v>336</v>
      </c>
      <c r="C18" s="65" t="s">
        <v>462</v>
      </c>
      <c r="D18" s="65" t="s">
        <v>463</v>
      </c>
      <c r="E18" s="65" t="n">
        <v>70</v>
      </c>
      <c r="F18" s="65" t="n">
        <v>74</v>
      </c>
      <c r="G18" s="50" t="n">
        <v>2418.81</v>
      </c>
      <c r="H18" s="66" t="n">
        <f aca="false">1-EXP(-G18/100000)</f>
        <v>0.0238979123138989</v>
      </c>
      <c r="I18" s="67" t="n">
        <v>6349</v>
      </c>
    </row>
    <row r="19" customFormat="false" ht="15" hidden="false" customHeight="true" outlineLevel="0" collapsed="false">
      <c r="B19" s="64" t="s">
        <v>336</v>
      </c>
      <c r="C19" s="65" t="s">
        <v>462</v>
      </c>
      <c r="D19" s="65" t="s">
        <v>463</v>
      </c>
      <c r="E19" s="65" t="n">
        <v>75</v>
      </c>
      <c r="F19" s="65" t="n">
        <v>79</v>
      </c>
      <c r="G19" s="50" t="n">
        <v>2843.88</v>
      </c>
      <c r="H19" s="66" t="n">
        <f aca="false">1-EXP(-G19/100000)</f>
        <v>0.0280382236133238</v>
      </c>
      <c r="I19" s="67" t="n">
        <v>4981</v>
      </c>
    </row>
    <row r="20" customFormat="false" ht="15" hidden="false" customHeight="true" outlineLevel="0" collapsed="false">
      <c r="B20" s="64" t="s">
        <v>336</v>
      </c>
      <c r="C20" s="65" t="s">
        <v>462</v>
      </c>
      <c r="D20" s="65" t="s">
        <v>463</v>
      </c>
      <c r="E20" s="65" t="n">
        <v>80</v>
      </c>
      <c r="F20" s="65" t="n">
        <v>84</v>
      </c>
      <c r="G20" s="50" t="n">
        <v>3106.23</v>
      </c>
      <c r="H20" s="66" t="n">
        <f aca="false">1-EXP(-G20/100000)</f>
        <v>0.0305848233708078</v>
      </c>
      <c r="I20" s="67" t="n">
        <v>3517</v>
      </c>
    </row>
    <row r="21" customFormat="false" ht="15" hidden="false" customHeight="true" outlineLevel="0" collapsed="false">
      <c r="B21" s="64" t="s">
        <v>336</v>
      </c>
      <c r="C21" s="65" t="s">
        <v>462</v>
      </c>
      <c r="D21" s="65" t="s">
        <v>463</v>
      </c>
      <c r="E21" s="65" t="n">
        <v>85</v>
      </c>
      <c r="F21" s="65" t="s">
        <v>464</v>
      </c>
      <c r="G21" s="50" t="n">
        <v>3282.92</v>
      </c>
      <c r="H21" s="66" t="n">
        <f aca="false">1-EXP(-G21/100000)</f>
        <v>0.0322961707113596</v>
      </c>
      <c r="I21" s="67" t="n">
        <v>2531</v>
      </c>
    </row>
    <row r="23" customFormat="false" ht="15" hidden="false" customHeight="true" outlineLevel="0" collapsed="false">
      <c r="B23" s="62" t="s">
        <v>336</v>
      </c>
    </row>
    <row r="24" customFormat="false" ht="15" hidden="false" customHeight="true" outlineLevel="0" collapsed="false">
      <c r="B24" s="64" t="s">
        <v>336</v>
      </c>
      <c r="C24" s="65" t="s">
        <v>462</v>
      </c>
      <c r="D24" s="65" t="s">
        <v>465</v>
      </c>
      <c r="E24" s="65" t="n">
        <v>30</v>
      </c>
      <c r="F24" s="65" t="n">
        <v>34</v>
      </c>
      <c r="G24" s="50" t="n">
        <v>118.92</v>
      </c>
      <c r="H24" s="66" t="n">
        <f aca="false">1-EXP(-G24/100000)</f>
        <v>0.00118849318189052</v>
      </c>
      <c r="I24" s="67" t="n">
        <v>630</v>
      </c>
    </row>
    <row r="25" customFormat="false" ht="15" hidden="false" customHeight="true" outlineLevel="0" collapsed="false">
      <c r="B25" s="64" t="s">
        <v>336</v>
      </c>
      <c r="C25" s="65" t="s">
        <v>462</v>
      </c>
      <c r="D25" s="65" t="s">
        <v>465</v>
      </c>
      <c r="E25" s="65" t="n">
        <v>35</v>
      </c>
      <c r="F25" s="65" t="n">
        <v>39</v>
      </c>
      <c r="G25" s="50" t="n">
        <v>171.02</v>
      </c>
      <c r="H25" s="66" t="n">
        <f aca="false">1-EXP(-G25/100000)</f>
        <v>0.00170873844128461</v>
      </c>
      <c r="I25" s="67" t="n">
        <v>1054</v>
      </c>
    </row>
    <row r="26" customFormat="false" ht="15" hidden="false" customHeight="true" outlineLevel="0" collapsed="false">
      <c r="B26" s="64" t="s">
        <v>336</v>
      </c>
      <c r="C26" s="65" t="s">
        <v>462</v>
      </c>
      <c r="D26" s="65" t="s">
        <v>465</v>
      </c>
      <c r="E26" s="65" t="n">
        <v>40</v>
      </c>
      <c r="F26" s="65" t="n">
        <v>44</v>
      </c>
      <c r="G26" s="50" t="n">
        <v>268.5</v>
      </c>
      <c r="H26" s="66" t="n">
        <f aca="false">1-EXP(-G26/100000)</f>
        <v>0.00268139861146377</v>
      </c>
      <c r="I26" s="67" t="n">
        <v>1519</v>
      </c>
    </row>
    <row r="27" customFormat="false" ht="15" hidden="false" customHeight="true" outlineLevel="0" collapsed="false">
      <c r="B27" s="64" t="s">
        <v>336</v>
      </c>
      <c r="C27" s="65" t="s">
        <v>462</v>
      </c>
      <c r="D27" s="65" t="s">
        <v>465</v>
      </c>
      <c r="E27" s="65" t="n">
        <v>45</v>
      </c>
      <c r="F27" s="65" t="n">
        <v>49</v>
      </c>
      <c r="G27" s="50" t="n">
        <v>398.72</v>
      </c>
      <c r="H27" s="66" t="n">
        <f aca="false">1-EXP(-G27/100000)</f>
        <v>0.00397926167215157</v>
      </c>
      <c r="I27" s="67" t="n">
        <v>2063</v>
      </c>
    </row>
    <row r="28" customFormat="false" ht="15" hidden="false" customHeight="true" outlineLevel="0" collapsed="false">
      <c r="B28" s="64" t="s">
        <v>336</v>
      </c>
      <c r="C28" s="65" t="s">
        <v>462</v>
      </c>
      <c r="D28" s="65" t="s">
        <v>465</v>
      </c>
      <c r="E28" s="65" t="n">
        <v>50</v>
      </c>
      <c r="F28" s="65" t="n">
        <v>54</v>
      </c>
      <c r="G28" s="50" t="n">
        <v>630.71</v>
      </c>
      <c r="H28" s="66" t="n">
        <f aca="false">1-EXP(-G28/100000)</f>
        <v>0.00628725199450275</v>
      </c>
      <c r="I28" s="67" t="n">
        <v>2945</v>
      </c>
    </row>
    <row r="29" customFormat="false" ht="15" hidden="false" customHeight="true" outlineLevel="0" collapsed="false">
      <c r="B29" s="64" t="s">
        <v>336</v>
      </c>
      <c r="C29" s="65" t="s">
        <v>462</v>
      </c>
      <c r="D29" s="65" t="s">
        <v>465</v>
      </c>
      <c r="E29" s="65" t="n">
        <v>55</v>
      </c>
      <c r="F29" s="65" t="n">
        <v>59</v>
      </c>
      <c r="G29" s="50" t="n">
        <v>729.67</v>
      </c>
      <c r="H29" s="66" t="n">
        <f aca="false">1-EXP(-G29/100000)</f>
        <v>0.00727014371489287</v>
      </c>
      <c r="I29" s="67" t="n">
        <v>3118</v>
      </c>
    </row>
    <row r="30" customFormat="false" ht="15" hidden="false" customHeight="true" outlineLevel="0" collapsed="false">
      <c r="B30" s="64" t="s">
        <v>336</v>
      </c>
      <c r="C30" s="65" t="s">
        <v>462</v>
      </c>
      <c r="D30" s="65" t="s">
        <v>465</v>
      </c>
      <c r="E30" s="65" t="n">
        <v>60</v>
      </c>
      <c r="F30" s="65" t="n">
        <v>64</v>
      </c>
      <c r="G30" s="50" t="n">
        <v>988.85</v>
      </c>
      <c r="H30" s="66" t="n">
        <f aca="false">1-EXP(-G30/100000)</f>
        <v>0.00983976953986665</v>
      </c>
      <c r="I30" s="67" t="n">
        <v>3726</v>
      </c>
    </row>
    <row r="31" customFormat="false" ht="15" hidden="false" customHeight="true" outlineLevel="0" collapsed="false">
      <c r="B31" s="64" t="s">
        <v>336</v>
      </c>
      <c r="C31" s="65" t="s">
        <v>462</v>
      </c>
      <c r="D31" s="65" t="s">
        <v>465</v>
      </c>
      <c r="E31" s="65" t="n">
        <v>65</v>
      </c>
      <c r="F31" s="65" t="n">
        <v>69</v>
      </c>
      <c r="G31" s="50" t="n">
        <v>1195.18</v>
      </c>
      <c r="H31" s="66" t="n">
        <f aca="false">1-EXP(-G31/100000)</f>
        <v>0.0118806609337272</v>
      </c>
      <c r="I31" s="67" t="n">
        <v>3935</v>
      </c>
    </row>
    <row r="32" customFormat="false" ht="15" hidden="false" customHeight="true" outlineLevel="0" collapsed="false">
      <c r="B32" s="64" t="s">
        <v>336</v>
      </c>
      <c r="C32" s="65" t="s">
        <v>462</v>
      </c>
      <c r="D32" s="65" t="s">
        <v>465</v>
      </c>
      <c r="E32" s="65" t="n">
        <v>70</v>
      </c>
      <c r="F32" s="65" t="n">
        <v>74</v>
      </c>
      <c r="G32" s="50" t="n">
        <v>1489.82</v>
      </c>
      <c r="H32" s="66" t="n">
        <f aca="false">1-EXP(-G32/100000)</f>
        <v>0.0147877708968368</v>
      </c>
      <c r="I32" s="67" t="n">
        <v>4074</v>
      </c>
    </row>
    <row r="33" customFormat="false" ht="15" hidden="false" customHeight="true" outlineLevel="0" collapsed="false">
      <c r="B33" s="64" t="s">
        <v>336</v>
      </c>
      <c r="C33" s="65" t="s">
        <v>462</v>
      </c>
      <c r="D33" s="65" t="s">
        <v>465</v>
      </c>
      <c r="E33" s="65" t="n">
        <v>75</v>
      </c>
      <c r="F33" s="65" t="n">
        <v>79</v>
      </c>
      <c r="G33" s="50" t="n">
        <v>1834.84</v>
      </c>
      <c r="H33" s="66" t="n">
        <f aca="false">1-EXP(-G33/100000)</f>
        <v>0.0181810929436846</v>
      </c>
      <c r="I33" s="67" t="n">
        <v>3579</v>
      </c>
    </row>
    <row r="34" customFormat="false" ht="15" hidden="false" customHeight="true" outlineLevel="0" collapsed="false">
      <c r="B34" s="64" t="s">
        <v>336</v>
      </c>
      <c r="C34" s="65" t="s">
        <v>462</v>
      </c>
      <c r="D34" s="65" t="s">
        <v>465</v>
      </c>
      <c r="E34" s="65" t="n">
        <v>80</v>
      </c>
      <c r="F34" s="65" t="n">
        <v>84</v>
      </c>
      <c r="G34" s="50" t="n">
        <v>2116.3</v>
      </c>
      <c r="H34" s="66" t="n">
        <f aca="false">1-EXP(-G34/100000)</f>
        <v>0.0209406351140377</v>
      </c>
      <c r="I34" s="67" t="n">
        <v>3041</v>
      </c>
    </row>
    <row r="35" customFormat="false" ht="15" hidden="false" customHeight="true" outlineLevel="0" collapsed="false">
      <c r="B35" s="64" t="s">
        <v>336</v>
      </c>
      <c r="C35" s="65" t="s">
        <v>462</v>
      </c>
      <c r="D35" s="65" t="s">
        <v>465</v>
      </c>
      <c r="E35" s="65" t="n">
        <v>85</v>
      </c>
      <c r="F35" s="65" t="s">
        <v>464</v>
      </c>
      <c r="G35" s="50" t="n">
        <v>2168.26</v>
      </c>
      <c r="H35" s="66" t="n">
        <f aca="false">1-EXP(-G35/100000)</f>
        <v>0.0214492222176603</v>
      </c>
      <c r="I35" s="67" t="n">
        <v>2991</v>
      </c>
    </row>
    <row r="37" customFormat="false" ht="15" hidden="false" customHeight="true" outlineLevel="0" collapsed="false">
      <c r="B37" s="62" t="s">
        <v>466</v>
      </c>
    </row>
    <row r="38" customFormat="false" ht="15" hidden="false" customHeight="true" outlineLevel="0" collapsed="false">
      <c r="B38" s="64" t="s">
        <v>466</v>
      </c>
      <c r="C38" s="65" t="s">
        <v>315</v>
      </c>
      <c r="D38" s="65" t="s">
        <v>465</v>
      </c>
      <c r="E38" s="65" t="n">
        <v>30</v>
      </c>
      <c r="F38" s="65" t="n">
        <v>34</v>
      </c>
      <c r="G38" s="50" t="n">
        <v>32.09</v>
      </c>
      <c r="H38" s="66" t="n">
        <f aca="false">1-EXP(-G38/100000)</f>
        <v>0.000320848517102124</v>
      </c>
      <c r="I38" s="67" t="n">
        <v>170</v>
      </c>
    </row>
    <row r="39" customFormat="false" ht="15" hidden="false" customHeight="true" outlineLevel="0" collapsed="false">
      <c r="B39" s="64" t="s">
        <v>466</v>
      </c>
      <c r="C39" s="65" t="s">
        <v>315</v>
      </c>
      <c r="D39" s="65" t="s">
        <v>465</v>
      </c>
      <c r="E39" s="65" t="n">
        <v>35</v>
      </c>
      <c r="F39" s="65" t="n">
        <v>39</v>
      </c>
      <c r="G39" s="50" t="n">
        <v>71.23</v>
      </c>
      <c r="H39" s="66" t="n">
        <f aca="false">1-EXP(-G39/100000)</f>
        <v>0.000712046374577668</v>
      </c>
      <c r="I39" s="67" t="n">
        <v>439</v>
      </c>
    </row>
    <row r="40" customFormat="false" ht="15" hidden="false" customHeight="true" outlineLevel="0" collapsed="false">
      <c r="B40" s="64" t="s">
        <v>466</v>
      </c>
      <c r="C40" s="65" t="s">
        <v>315</v>
      </c>
      <c r="D40" s="65" t="s">
        <v>465</v>
      </c>
      <c r="E40" s="65" t="n">
        <v>40</v>
      </c>
      <c r="F40" s="65" t="n">
        <v>44</v>
      </c>
      <c r="G40" s="50" t="n">
        <v>129.57</v>
      </c>
      <c r="H40" s="66" t="n">
        <f aca="false">1-EXP(-G40/100000)</f>
        <v>0.00129486094318276</v>
      </c>
      <c r="I40" s="67" t="n">
        <v>733</v>
      </c>
    </row>
    <row r="41" customFormat="false" ht="15" hidden="false" customHeight="true" outlineLevel="0" collapsed="false">
      <c r="B41" s="64" t="s">
        <v>466</v>
      </c>
      <c r="C41" s="65" t="s">
        <v>315</v>
      </c>
      <c r="D41" s="65" t="s">
        <v>465</v>
      </c>
      <c r="E41" s="65" t="n">
        <v>45</v>
      </c>
      <c r="F41" s="65" t="n">
        <v>49</v>
      </c>
      <c r="G41" s="50" t="n">
        <v>202.16</v>
      </c>
      <c r="H41" s="66" t="n">
        <f aca="false">1-EXP(-G41/100000)</f>
        <v>0.00201955794302588</v>
      </c>
      <c r="I41" s="67" t="n">
        <v>1046</v>
      </c>
    </row>
    <row r="42" customFormat="false" ht="15" hidden="false" customHeight="true" outlineLevel="0" collapsed="false">
      <c r="B42" s="64" t="s">
        <v>466</v>
      </c>
      <c r="C42" s="65" t="s">
        <v>315</v>
      </c>
      <c r="D42" s="65" t="s">
        <v>465</v>
      </c>
      <c r="E42" s="65" t="n">
        <v>50</v>
      </c>
      <c r="F42" s="65" t="n">
        <v>54</v>
      </c>
      <c r="G42" s="50" t="n">
        <v>330.45</v>
      </c>
      <c r="H42" s="66" t="n">
        <f aca="false">1-EXP(-G42/100000)</f>
        <v>0.00329904614894583</v>
      </c>
      <c r="I42" s="67" t="n">
        <v>1543</v>
      </c>
    </row>
    <row r="43" customFormat="false" ht="15" hidden="false" customHeight="true" outlineLevel="0" collapsed="false">
      <c r="B43" s="64" t="s">
        <v>466</v>
      </c>
      <c r="C43" s="65" t="s">
        <v>315</v>
      </c>
      <c r="D43" s="65" t="s">
        <v>465</v>
      </c>
      <c r="E43" s="65" t="n">
        <v>55</v>
      </c>
      <c r="F43" s="65" t="n">
        <v>59</v>
      </c>
      <c r="G43" s="50" t="n">
        <v>280.12</v>
      </c>
      <c r="H43" s="66" t="n">
        <f aca="false">1-EXP(-G43/100000)</f>
        <v>0.00279728030008863</v>
      </c>
      <c r="I43" s="67" t="n">
        <v>1197</v>
      </c>
    </row>
    <row r="44" customFormat="false" ht="15" hidden="false" customHeight="true" outlineLevel="0" collapsed="false">
      <c r="B44" s="64" t="s">
        <v>466</v>
      </c>
      <c r="C44" s="65" t="s">
        <v>315</v>
      </c>
      <c r="D44" s="65" t="s">
        <v>465</v>
      </c>
      <c r="E44" s="65" t="n">
        <v>60</v>
      </c>
      <c r="F44" s="65" t="n">
        <v>64</v>
      </c>
      <c r="G44" s="50" t="n">
        <v>333.33</v>
      </c>
      <c r="H44" s="66" t="n">
        <f aca="false">1-EXP(-G44/100000)</f>
        <v>0.0033277507230689</v>
      </c>
      <c r="I44" s="67" t="n">
        <v>1256</v>
      </c>
    </row>
    <row r="45" customFormat="false" ht="15" hidden="false" customHeight="true" outlineLevel="0" collapsed="false">
      <c r="B45" s="64" t="s">
        <v>466</v>
      </c>
      <c r="C45" s="65" t="s">
        <v>315</v>
      </c>
      <c r="D45" s="65" t="s">
        <v>465</v>
      </c>
      <c r="E45" s="65" t="n">
        <v>65</v>
      </c>
      <c r="F45" s="65" t="n">
        <v>69</v>
      </c>
      <c r="G45" s="50" t="n">
        <v>332.59</v>
      </c>
      <c r="H45" s="66" t="n">
        <f aca="false">1-EXP(-G45/100000)</f>
        <v>0.00332037532113527</v>
      </c>
      <c r="I45" s="67" t="n">
        <v>1095</v>
      </c>
    </row>
    <row r="46" customFormat="false" ht="15" hidden="false" customHeight="true" outlineLevel="0" collapsed="false">
      <c r="B46" s="64" t="s">
        <v>466</v>
      </c>
      <c r="C46" s="65" t="s">
        <v>315</v>
      </c>
      <c r="D46" s="65" t="s">
        <v>465</v>
      </c>
      <c r="E46" s="65" t="n">
        <v>70</v>
      </c>
      <c r="F46" s="65" t="n">
        <v>74</v>
      </c>
      <c r="G46" s="50" t="n">
        <v>352.16</v>
      </c>
      <c r="H46" s="66" t="n">
        <f aca="false">1-EXP(-G46/100000)</f>
        <v>0.00351540643926762</v>
      </c>
      <c r="I46" s="67" t="n">
        <v>963</v>
      </c>
    </row>
    <row r="47" customFormat="false" ht="15" hidden="false" customHeight="true" outlineLevel="0" collapsed="false">
      <c r="B47" s="64" t="s">
        <v>466</v>
      </c>
      <c r="C47" s="65" t="s">
        <v>315</v>
      </c>
      <c r="D47" s="65" t="s">
        <v>465</v>
      </c>
      <c r="E47" s="65" t="n">
        <v>75</v>
      </c>
      <c r="F47" s="65" t="n">
        <v>79</v>
      </c>
      <c r="G47" s="50" t="n">
        <v>417.31</v>
      </c>
      <c r="H47" s="66" t="n">
        <f aca="false">1-EXP(-G47/100000)</f>
        <v>0.00416440471782742</v>
      </c>
      <c r="I47" s="67" t="n">
        <v>814</v>
      </c>
    </row>
    <row r="48" customFormat="false" ht="15" hidden="false" customHeight="true" outlineLevel="0" collapsed="false">
      <c r="B48" s="64" t="s">
        <v>466</v>
      </c>
      <c r="C48" s="65" t="s">
        <v>315</v>
      </c>
      <c r="D48" s="65" t="s">
        <v>465</v>
      </c>
      <c r="E48" s="65" t="n">
        <v>80</v>
      </c>
      <c r="F48" s="65" t="n">
        <v>84</v>
      </c>
      <c r="G48" s="50" t="n">
        <v>423.82</v>
      </c>
      <c r="H48" s="66" t="n">
        <f aca="false">1-EXP(-G48/100000)</f>
        <v>0.00422923150494547</v>
      </c>
      <c r="I48" s="67" t="n">
        <v>609</v>
      </c>
    </row>
    <row r="49" customFormat="false" ht="15" hidden="false" customHeight="true" outlineLevel="0" collapsed="false">
      <c r="B49" s="64" t="s">
        <v>466</v>
      </c>
      <c r="C49" s="65" t="s">
        <v>315</v>
      </c>
      <c r="D49" s="65" t="s">
        <v>465</v>
      </c>
      <c r="E49" s="65" t="n">
        <v>85</v>
      </c>
      <c r="F49" s="65" t="s">
        <v>464</v>
      </c>
      <c r="G49" s="50" t="n">
        <v>392.91</v>
      </c>
      <c r="H49" s="66" t="n">
        <f aca="false">1-EXP(-G49/100000)</f>
        <v>0.00392139118613344</v>
      </c>
      <c r="I49" s="67" t="n">
        <v>542</v>
      </c>
    </row>
    <row r="51" customFormat="false" ht="15" hidden="false" customHeight="true" outlineLevel="0" collapsed="false">
      <c r="B51" s="62" t="s">
        <v>317</v>
      </c>
    </row>
    <row r="52" customFormat="false" ht="15" hidden="false" customHeight="true" outlineLevel="0" collapsed="false">
      <c r="B52" s="64" t="s">
        <v>317</v>
      </c>
      <c r="C52" s="65" t="s">
        <v>318</v>
      </c>
      <c r="D52" s="65" t="s">
        <v>465</v>
      </c>
      <c r="E52" s="65" t="n">
        <v>30</v>
      </c>
      <c r="F52" s="65" t="n">
        <v>34</v>
      </c>
      <c r="G52" s="50" t="n">
        <v>23.22</v>
      </c>
      <c r="H52" s="66" t="n">
        <f aca="false">1-EXP(-G52/100000)</f>
        <v>0.000232173043666406</v>
      </c>
      <c r="I52" s="67" t="n">
        <v>123</v>
      </c>
    </row>
    <row r="53" customFormat="false" ht="15" hidden="false" customHeight="true" outlineLevel="0" collapsed="false">
      <c r="B53" s="64" t="s">
        <v>317</v>
      </c>
      <c r="C53" s="65" t="s">
        <v>318</v>
      </c>
      <c r="D53" s="65" t="s">
        <v>465</v>
      </c>
      <c r="E53" s="65" t="n">
        <v>35</v>
      </c>
      <c r="F53" s="65" t="n">
        <v>39</v>
      </c>
      <c r="G53" s="50" t="n">
        <v>19.8</v>
      </c>
      <c r="H53" s="66" t="n">
        <f aca="false">1-EXP(-G53/100000)</f>
        <v>0.00019798039929364</v>
      </c>
      <c r="I53" s="67" t="n">
        <v>122</v>
      </c>
    </row>
    <row r="54" customFormat="false" ht="15" hidden="false" customHeight="true" outlineLevel="0" collapsed="false">
      <c r="B54" s="64" t="s">
        <v>317</v>
      </c>
      <c r="C54" s="65" t="s">
        <v>318</v>
      </c>
      <c r="D54" s="65" t="s">
        <v>465</v>
      </c>
      <c r="E54" s="65" t="n">
        <v>40</v>
      </c>
      <c r="F54" s="65" t="n">
        <v>44</v>
      </c>
      <c r="G54" s="50" t="n">
        <v>23.33</v>
      </c>
      <c r="H54" s="66" t="n">
        <f aca="false">1-EXP(-G54/100000)</f>
        <v>0.000233272787671268</v>
      </c>
      <c r="I54" s="67" t="n">
        <v>132</v>
      </c>
    </row>
    <row r="55" customFormat="false" ht="15" hidden="false" customHeight="true" outlineLevel="0" collapsed="false">
      <c r="B55" s="64" t="s">
        <v>317</v>
      </c>
      <c r="C55" s="65" t="s">
        <v>318</v>
      </c>
      <c r="D55" s="65" t="s">
        <v>465</v>
      </c>
      <c r="E55" s="65" t="n">
        <v>45</v>
      </c>
      <c r="F55" s="65" t="n">
        <v>49</v>
      </c>
      <c r="G55" s="50" t="n">
        <v>19.33</v>
      </c>
      <c r="H55" s="66" t="n">
        <f aca="false">1-EXP(-G55/100000)</f>
        <v>0.000193281318758731</v>
      </c>
      <c r="I55" s="67" t="n">
        <v>100</v>
      </c>
    </row>
    <row r="56" customFormat="false" ht="15" hidden="false" customHeight="true" outlineLevel="0" collapsed="false">
      <c r="B56" s="64" t="s">
        <v>317</v>
      </c>
      <c r="C56" s="65" t="s">
        <v>318</v>
      </c>
      <c r="D56" s="65" t="s">
        <v>465</v>
      </c>
      <c r="E56" s="65" t="n">
        <v>50</v>
      </c>
      <c r="F56" s="65" t="n">
        <v>54</v>
      </c>
      <c r="G56" s="50" t="n">
        <v>15.21</v>
      </c>
      <c r="H56" s="66" t="n">
        <f aca="false">1-EXP(-G56/100000)</f>
        <v>0.000152088433381437</v>
      </c>
      <c r="I56" s="67" t="n">
        <v>71</v>
      </c>
    </row>
    <row r="57" customFormat="false" ht="15" hidden="false" customHeight="true" outlineLevel="0" collapsed="false">
      <c r="B57" s="64" t="s">
        <v>317</v>
      </c>
      <c r="C57" s="65" t="s">
        <v>318</v>
      </c>
      <c r="D57" s="65" t="s">
        <v>465</v>
      </c>
      <c r="E57" s="65" t="n">
        <v>55</v>
      </c>
      <c r="F57" s="65" t="n">
        <v>59</v>
      </c>
      <c r="G57" s="50" t="n">
        <v>16.85</v>
      </c>
      <c r="H57" s="66" t="n">
        <f aca="false">1-EXP(-G57/100000)</f>
        <v>0.000168485804672325</v>
      </c>
      <c r="I57" s="67" t="n">
        <v>72</v>
      </c>
    </row>
    <row r="58" customFormat="false" ht="15" hidden="false" customHeight="true" outlineLevel="0" collapsed="false">
      <c r="B58" s="64" t="s">
        <v>317</v>
      </c>
      <c r="C58" s="65" t="s">
        <v>318</v>
      </c>
      <c r="D58" s="65" t="s">
        <v>465</v>
      </c>
      <c r="E58" s="65" t="n">
        <v>60</v>
      </c>
      <c r="F58" s="65" t="n">
        <v>64</v>
      </c>
      <c r="G58" s="50" t="n">
        <v>12.74</v>
      </c>
      <c r="H58" s="66" t="n">
        <f aca="false">1-EXP(-G58/100000)</f>
        <v>0.000127391884964578</v>
      </c>
      <c r="I58" s="67" t="n">
        <v>48</v>
      </c>
    </row>
    <row r="59" customFormat="false" ht="15" hidden="false" customHeight="true" outlineLevel="0" collapsed="false">
      <c r="B59" s="64" t="s">
        <v>317</v>
      </c>
      <c r="C59" s="65" t="s">
        <v>318</v>
      </c>
      <c r="D59" s="65" t="s">
        <v>465</v>
      </c>
      <c r="E59" s="65" t="n">
        <v>65</v>
      </c>
      <c r="F59" s="65" t="n">
        <v>69</v>
      </c>
      <c r="G59" s="50" t="n">
        <v>13.06</v>
      </c>
      <c r="H59" s="66" t="n">
        <f aca="false">1-EXP(-G59/100000)</f>
        <v>0.000130591472191299</v>
      </c>
      <c r="I59" s="67" t="n">
        <v>43</v>
      </c>
    </row>
    <row r="60" customFormat="false" ht="15" hidden="false" customHeight="true" outlineLevel="0" collapsed="false">
      <c r="B60" s="64" t="s">
        <v>317</v>
      </c>
      <c r="C60" s="65" t="s">
        <v>318</v>
      </c>
      <c r="D60" s="65" t="s">
        <v>465</v>
      </c>
      <c r="E60" s="65" t="n">
        <v>70</v>
      </c>
      <c r="F60" s="65" t="n">
        <v>74</v>
      </c>
      <c r="G60" s="50" t="n">
        <v>12.8</v>
      </c>
      <c r="H60" s="66" t="n">
        <f aca="false">1-EXP(-G60/100000)</f>
        <v>0.000127991808349548</v>
      </c>
      <c r="I60" s="67" t="n">
        <v>35</v>
      </c>
    </row>
    <row r="61" customFormat="false" ht="15" hidden="false" customHeight="true" outlineLevel="0" collapsed="false">
      <c r="B61" s="64" t="s">
        <v>317</v>
      </c>
      <c r="C61" s="65" t="s">
        <v>318</v>
      </c>
      <c r="D61" s="65" t="s">
        <v>465</v>
      </c>
      <c r="E61" s="65" t="n">
        <v>75</v>
      </c>
      <c r="F61" s="65" t="n">
        <v>79</v>
      </c>
      <c r="G61" s="50" t="n">
        <v>16.41</v>
      </c>
      <c r="H61" s="66" t="n">
        <f aca="false">1-EXP(-G61/100000)</f>
        <v>0.000164086536331487</v>
      </c>
      <c r="I61" s="67" t="n">
        <v>32</v>
      </c>
    </row>
    <row r="62" customFormat="false" ht="15" hidden="false" customHeight="true" outlineLevel="0" collapsed="false">
      <c r="B62" s="64" t="s">
        <v>317</v>
      </c>
      <c r="C62" s="65" t="s">
        <v>318</v>
      </c>
      <c r="D62" s="65" t="s">
        <v>465</v>
      </c>
      <c r="E62" s="65" t="n">
        <v>80</v>
      </c>
      <c r="F62" s="65" t="n">
        <v>84</v>
      </c>
      <c r="G62" s="50" t="n">
        <v>8.35</v>
      </c>
      <c r="H62" s="66" t="n">
        <f aca="false">1-EXP(-G62/100000)</f>
        <v>8.34965139719923E-005</v>
      </c>
      <c r="I62" s="67" t="n">
        <v>12</v>
      </c>
    </row>
    <row r="63" customFormat="false" ht="15" hidden="false" customHeight="true" outlineLevel="0" collapsed="false">
      <c r="B63" s="64" t="s">
        <v>317</v>
      </c>
      <c r="C63" s="65" t="s">
        <v>318</v>
      </c>
      <c r="D63" s="65" t="s">
        <v>465</v>
      </c>
      <c r="E63" s="65" t="n">
        <v>85</v>
      </c>
      <c r="F63" s="65" t="s">
        <v>464</v>
      </c>
      <c r="G63" s="50" t="n">
        <v>13.05</v>
      </c>
      <c r="H63" s="66" t="n">
        <f aca="false">1-EXP(-G63/100000)</f>
        <v>0.000130491485245354</v>
      </c>
      <c r="I63" s="67" t="n">
        <v>13</v>
      </c>
    </row>
    <row r="65" customFormat="false" ht="15" hidden="false" customHeight="true" outlineLevel="0" collapsed="false">
      <c r="B65" s="62" t="s">
        <v>320</v>
      </c>
    </row>
    <row r="66" customFormat="false" ht="15" hidden="false" customHeight="true" outlineLevel="0" collapsed="false">
      <c r="B66" s="64" t="s">
        <v>320</v>
      </c>
      <c r="C66" s="65" t="s">
        <v>321</v>
      </c>
      <c r="D66" s="65" t="s">
        <v>465</v>
      </c>
      <c r="E66" s="65" t="n">
        <v>30</v>
      </c>
      <c r="F66" s="65" t="n">
        <v>34</v>
      </c>
      <c r="G66" s="50" t="n">
        <v>2.83</v>
      </c>
      <c r="H66" s="66" t="n">
        <f aca="false">1-EXP(-G66/100000)</f>
        <v>2.82995995587454E-005</v>
      </c>
      <c r="I66" s="67" t="n">
        <v>15</v>
      </c>
    </row>
    <row r="67" customFormat="false" ht="15" hidden="false" customHeight="true" outlineLevel="0" collapsed="false">
      <c r="B67" s="64" t="s">
        <v>320</v>
      </c>
      <c r="C67" s="65" t="s">
        <v>321</v>
      </c>
      <c r="D67" s="65" t="s">
        <v>465</v>
      </c>
      <c r="E67" s="65" t="n">
        <v>35</v>
      </c>
      <c r="F67" s="65" t="n">
        <v>39</v>
      </c>
      <c r="G67" s="50" t="n">
        <v>5.19</v>
      </c>
      <c r="H67" s="66" t="n">
        <f aca="false">1-EXP(-G67/100000)</f>
        <v>5.18986532183074E-005</v>
      </c>
      <c r="I67" s="67" t="n">
        <v>32</v>
      </c>
    </row>
    <row r="68" customFormat="false" ht="15" hidden="false" customHeight="true" outlineLevel="0" collapsed="false">
      <c r="B68" s="64" t="s">
        <v>320</v>
      </c>
      <c r="C68" s="65" t="s">
        <v>321</v>
      </c>
      <c r="D68" s="65" t="s">
        <v>465</v>
      </c>
      <c r="E68" s="65" t="n">
        <v>40</v>
      </c>
      <c r="F68" s="65" t="n">
        <v>44</v>
      </c>
      <c r="G68" s="50" t="n">
        <v>8.48</v>
      </c>
      <c r="H68" s="66" t="n">
        <f aca="false">1-EXP(-G68/100000)</f>
        <v>8.47964045815886E-005</v>
      </c>
      <c r="I68" s="67" t="n">
        <v>48</v>
      </c>
    </row>
    <row r="69" customFormat="false" ht="15" hidden="false" customHeight="true" outlineLevel="0" collapsed="false">
      <c r="B69" s="64" t="s">
        <v>320</v>
      </c>
      <c r="C69" s="65" t="s">
        <v>321</v>
      </c>
      <c r="D69" s="65" t="s">
        <v>465</v>
      </c>
      <c r="E69" s="65" t="n">
        <v>45</v>
      </c>
      <c r="F69" s="65" t="n">
        <v>49</v>
      </c>
      <c r="G69" s="50" t="n">
        <v>14.88</v>
      </c>
      <c r="H69" s="66" t="n">
        <f aca="false">1-EXP(-G69/100000)</f>
        <v>0.000148788929829058</v>
      </c>
      <c r="I69" s="67" t="n">
        <v>77</v>
      </c>
    </row>
    <row r="70" customFormat="false" ht="15" hidden="false" customHeight="true" outlineLevel="0" collapsed="false">
      <c r="B70" s="64" t="s">
        <v>320</v>
      </c>
      <c r="C70" s="65" t="s">
        <v>321</v>
      </c>
      <c r="D70" s="65" t="s">
        <v>465</v>
      </c>
      <c r="E70" s="65" t="n">
        <v>50</v>
      </c>
      <c r="F70" s="65" t="n">
        <v>54</v>
      </c>
      <c r="G70" s="50" t="n">
        <v>21.63</v>
      </c>
      <c r="H70" s="66" t="n">
        <f aca="false">1-EXP(-G70/100000)</f>
        <v>0.000216276608841492</v>
      </c>
      <c r="I70" s="67" t="n">
        <v>101</v>
      </c>
    </row>
    <row r="71" customFormat="false" ht="15" hidden="false" customHeight="true" outlineLevel="0" collapsed="false">
      <c r="B71" s="64" t="s">
        <v>320</v>
      </c>
      <c r="C71" s="65" t="s">
        <v>321</v>
      </c>
      <c r="D71" s="65" t="s">
        <v>465</v>
      </c>
      <c r="E71" s="65" t="n">
        <v>55</v>
      </c>
      <c r="F71" s="65" t="n">
        <v>59</v>
      </c>
      <c r="G71" s="50" t="n">
        <v>29.95</v>
      </c>
      <c r="H71" s="66" t="n">
        <f aca="false">1-EXP(-G71/100000)</f>
        <v>0.000299455154352257</v>
      </c>
      <c r="I71" s="67" t="n">
        <v>128</v>
      </c>
    </row>
    <row r="72" customFormat="false" ht="15" hidden="false" customHeight="true" outlineLevel="0" collapsed="false">
      <c r="B72" s="64" t="s">
        <v>320</v>
      </c>
      <c r="C72" s="65" t="s">
        <v>321</v>
      </c>
      <c r="D72" s="65" t="s">
        <v>465</v>
      </c>
      <c r="E72" s="65" t="n">
        <v>60</v>
      </c>
      <c r="F72" s="65" t="n">
        <v>64</v>
      </c>
      <c r="G72" s="50" t="n">
        <v>34.5</v>
      </c>
      <c r="H72" s="66" t="n">
        <f aca="false">1-EXP(-G72/100000)</f>
        <v>0.000344940494343304</v>
      </c>
      <c r="I72" s="67" t="n">
        <v>130</v>
      </c>
    </row>
    <row r="73" customFormat="false" ht="15" hidden="false" customHeight="true" outlineLevel="0" collapsed="false">
      <c r="B73" s="64" t="s">
        <v>320</v>
      </c>
      <c r="C73" s="65" t="s">
        <v>321</v>
      </c>
      <c r="D73" s="65" t="s">
        <v>465</v>
      </c>
      <c r="E73" s="65" t="n">
        <v>65</v>
      </c>
      <c r="F73" s="65" t="n">
        <v>69</v>
      </c>
      <c r="G73" s="50" t="n">
        <v>42.52</v>
      </c>
      <c r="H73" s="66" t="n">
        <f aca="false">1-EXP(-G73/100000)</f>
        <v>0.000425109615290964</v>
      </c>
      <c r="I73" s="67" t="n">
        <v>140</v>
      </c>
    </row>
    <row r="74" customFormat="false" ht="15" hidden="false" customHeight="true" outlineLevel="0" collapsed="false">
      <c r="B74" s="64" t="s">
        <v>320</v>
      </c>
      <c r="C74" s="65" t="s">
        <v>321</v>
      </c>
      <c r="D74" s="65" t="s">
        <v>465</v>
      </c>
      <c r="E74" s="65" t="n">
        <v>70</v>
      </c>
      <c r="F74" s="65" t="n">
        <v>74</v>
      </c>
      <c r="G74" s="50" t="n">
        <v>57.41</v>
      </c>
      <c r="H74" s="66" t="n">
        <f aca="false">1-EXP(-G74/100000)</f>
        <v>0.00057393523612681</v>
      </c>
      <c r="I74" s="67" t="n">
        <v>157</v>
      </c>
    </row>
    <row r="75" customFormat="false" ht="15" hidden="false" customHeight="true" outlineLevel="0" collapsed="false">
      <c r="B75" s="64" t="s">
        <v>320</v>
      </c>
      <c r="C75" s="65" t="s">
        <v>321</v>
      </c>
      <c r="D75" s="65" t="s">
        <v>465</v>
      </c>
      <c r="E75" s="65" t="n">
        <v>75</v>
      </c>
      <c r="F75" s="65" t="n">
        <v>79</v>
      </c>
      <c r="G75" s="50" t="n">
        <v>57.93</v>
      </c>
      <c r="H75" s="66" t="n">
        <f aca="false">1-EXP(-G75/100000)</f>
        <v>0.000579132238151425</v>
      </c>
      <c r="I75" s="67" t="n">
        <v>113</v>
      </c>
    </row>
    <row r="76" customFormat="false" ht="15" hidden="false" customHeight="true" outlineLevel="0" collapsed="false">
      <c r="B76" s="64" t="s">
        <v>320</v>
      </c>
      <c r="C76" s="65" t="s">
        <v>321</v>
      </c>
      <c r="D76" s="65" t="s">
        <v>465</v>
      </c>
      <c r="E76" s="65" t="n">
        <v>80</v>
      </c>
      <c r="F76" s="65" t="n">
        <v>84</v>
      </c>
      <c r="G76" s="50" t="n">
        <v>82.12</v>
      </c>
      <c r="H76" s="66" t="n">
        <f aca="false">1-EXP(-G76/100000)</f>
        <v>0.000820862907559783</v>
      </c>
      <c r="I76" s="67" t="n">
        <v>118</v>
      </c>
    </row>
    <row r="77" customFormat="false" ht="15" hidden="false" customHeight="true" outlineLevel="0" collapsed="false">
      <c r="B77" s="64" t="s">
        <v>320</v>
      </c>
      <c r="C77" s="65" t="s">
        <v>321</v>
      </c>
      <c r="D77" s="65" t="s">
        <v>465</v>
      </c>
      <c r="E77" s="65" t="n">
        <v>85</v>
      </c>
      <c r="F77" s="65" t="s">
        <v>464</v>
      </c>
      <c r="G77" s="50" t="n">
        <v>64.52</v>
      </c>
      <c r="H77" s="66" t="n">
        <f aca="false">1-EXP(-G77/100000)</f>
        <v>0.00064499190323708</v>
      </c>
      <c r="I77" s="67" t="n">
        <v>89</v>
      </c>
    </row>
    <row r="79" customFormat="false" ht="15" hidden="false" customHeight="true" outlineLevel="0" collapsed="false">
      <c r="B79" s="62" t="s">
        <v>323</v>
      </c>
    </row>
    <row r="80" customFormat="false" ht="15" hidden="false" customHeight="true" outlineLevel="0" collapsed="false">
      <c r="B80" s="64" t="s">
        <v>323</v>
      </c>
      <c r="C80" s="65" t="s">
        <v>324</v>
      </c>
      <c r="D80" s="65" t="s">
        <v>465</v>
      </c>
      <c r="E80" s="65" t="n">
        <v>30</v>
      </c>
      <c r="F80" s="65" t="n">
        <v>34</v>
      </c>
      <c r="G80" s="50" t="n">
        <v>1.89</v>
      </c>
      <c r="H80" s="66" t="n">
        <f aca="false">1-EXP(-G80/100000)</f>
        <v>1.88998213961344E-005</v>
      </c>
      <c r="I80" s="67" t="n">
        <v>10</v>
      </c>
    </row>
    <row r="81" customFormat="false" ht="15" hidden="false" customHeight="true" outlineLevel="0" collapsed="false">
      <c r="B81" s="64" t="s">
        <v>323</v>
      </c>
      <c r="C81" s="65" t="s">
        <v>324</v>
      </c>
      <c r="D81" s="65" t="s">
        <v>465</v>
      </c>
      <c r="E81" s="65" t="n">
        <v>35</v>
      </c>
      <c r="F81" s="65" t="n">
        <v>39</v>
      </c>
      <c r="G81" s="50" t="n">
        <v>3.89</v>
      </c>
      <c r="H81" s="66" t="n">
        <f aca="false">1-EXP(-G81/100000)</f>
        <v>3.8899243404833E-005</v>
      </c>
      <c r="I81" s="67" t="n">
        <v>24</v>
      </c>
    </row>
    <row r="82" customFormat="false" ht="15" hidden="false" customHeight="true" outlineLevel="0" collapsed="false">
      <c r="B82" s="64" t="s">
        <v>323</v>
      </c>
      <c r="C82" s="65" t="s">
        <v>324</v>
      </c>
      <c r="D82" s="65" t="s">
        <v>465</v>
      </c>
      <c r="E82" s="65" t="n">
        <v>40</v>
      </c>
      <c r="F82" s="65" t="n">
        <v>44</v>
      </c>
      <c r="G82" s="50" t="n">
        <v>6.89</v>
      </c>
      <c r="H82" s="66" t="n">
        <f aca="false">1-EXP(-G82/100000)</f>
        <v>6.88976264494601E-005</v>
      </c>
      <c r="I82" s="67" t="n">
        <v>39</v>
      </c>
    </row>
    <row r="83" customFormat="false" ht="15" hidden="false" customHeight="true" outlineLevel="0" collapsed="false">
      <c r="B83" s="64" t="s">
        <v>323</v>
      </c>
      <c r="C83" s="65" t="s">
        <v>324</v>
      </c>
      <c r="D83" s="65" t="s">
        <v>465</v>
      </c>
      <c r="E83" s="65" t="n">
        <v>45</v>
      </c>
      <c r="F83" s="65" t="n">
        <v>49</v>
      </c>
      <c r="G83" s="50" t="n">
        <v>13.53</v>
      </c>
      <c r="H83" s="66" t="n">
        <f aca="false">1-EXP(-G83/100000)</f>
        <v>0.000135290847367742</v>
      </c>
      <c r="I83" s="67" t="n">
        <v>70</v>
      </c>
    </row>
    <row r="84" customFormat="false" ht="15" hidden="false" customHeight="true" outlineLevel="0" collapsed="false">
      <c r="B84" s="64" t="s">
        <v>323</v>
      </c>
      <c r="C84" s="65" t="s">
        <v>324</v>
      </c>
      <c r="D84" s="65" t="s">
        <v>465</v>
      </c>
      <c r="E84" s="65" t="n">
        <v>50</v>
      </c>
      <c r="F84" s="65" t="n">
        <v>54</v>
      </c>
      <c r="G84" s="50" t="n">
        <v>38.76</v>
      </c>
      <c r="H84" s="66" t="n">
        <f aca="false">1-EXP(-G84/100000)</f>
        <v>0.00038752489282412</v>
      </c>
      <c r="I84" s="67" t="n">
        <v>181</v>
      </c>
    </row>
    <row r="85" customFormat="false" ht="15" hidden="false" customHeight="true" outlineLevel="0" collapsed="false">
      <c r="B85" s="64" t="s">
        <v>323</v>
      </c>
      <c r="C85" s="65" t="s">
        <v>324</v>
      </c>
      <c r="D85" s="65" t="s">
        <v>465</v>
      </c>
      <c r="E85" s="65" t="n">
        <v>55</v>
      </c>
      <c r="F85" s="65" t="n">
        <v>59</v>
      </c>
      <c r="G85" s="50" t="n">
        <v>54.76</v>
      </c>
      <c r="H85" s="66" t="n">
        <f aca="false">1-EXP(-G85/100000)</f>
        <v>0.000547450094483981</v>
      </c>
      <c r="I85" s="67" t="n">
        <v>234</v>
      </c>
    </row>
    <row r="86" customFormat="false" ht="15" hidden="false" customHeight="true" outlineLevel="0" collapsed="false">
      <c r="B86" s="64" t="s">
        <v>323</v>
      </c>
      <c r="C86" s="65" t="s">
        <v>324</v>
      </c>
      <c r="D86" s="65" t="s">
        <v>465</v>
      </c>
      <c r="E86" s="65" t="n">
        <v>60</v>
      </c>
      <c r="F86" s="65" t="n">
        <v>64</v>
      </c>
      <c r="G86" s="50" t="n">
        <v>70.06</v>
      </c>
      <c r="H86" s="66" t="n">
        <f aca="false">1-EXP(-G86/100000)</f>
        <v>0.000700354637123701</v>
      </c>
      <c r="I86" s="67" t="n">
        <v>264</v>
      </c>
    </row>
    <row r="87" customFormat="false" ht="15" hidden="false" customHeight="true" outlineLevel="0" collapsed="false">
      <c r="B87" s="64" t="s">
        <v>323</v>
      </c>
      <c r="C87" s="65" t="s">
        <v>324</v>
      </c>
      <c r="D87" s="65" t="s">
        <v>465</v>
      </c>
      <c r="E87" s="65" t="n">
        <v>65</v>
      </c>
      <c r="F87" s="65" t="n">
        <v>69</v>
      </c>
      <c r="G87" s="50" t="n">
        <v>80.19</v>
      </c>
      <c r="H87" s="66" t="n">
        <f aca="false">1-EXP(-G87/100000)</f>
        <v>0.000801578564120553</v>
      </c>
      <c r="I87" s="67" t="n">
        <v>264</v>
      </c>
    </row>
    <row r="88" customFormat="false" ht="15" hidden="false" customHeight="true" outlineLevel="0" collapsed="false">
      <c r="B88" s="64" t="s">
        <v>323</v>
      </c>
      <c r="C88" s="65" t="s">
        <v>324</v>
      </c>
      <c r="D88" s="65" t="s">
        <v>465</v>
      </c>
      <c r="E88" s="65" t="n">
        <v>70</v>
      </c>
      <c r="F88" s="65" t="n">
        <v>74</v>
      </c>
      <c r="G88" s="50" t="n">
        <v>82.65</v>
      </c>
      <c r="H88" s="66" t="n">
        <f aca="false">1-EXP(-G88/100000)</f>
        <v>0.000826158542952871</v>
      </c>
      <c r="I88" s="67" t="n">
        <v>226</v>
      </c>
    </row>
    <row r="89" customFormat="false" ht="15" hidden="false" customHeight="true" outlineLevel="0" collapsed="false">
      <c r="B89" s="64" t="s">
        <v>323</v>
      </c>
      <c r="C89" s="65" t="s">
        <v>324</v>
      </c>
      <c r="D89" s="65" t="s">
        <v>465</v>
      </c>
      <c r="E89" s="65" t="n">
        <v>75</v>
      </c>
      <c r="F89" s="65" t="n">
        <v>79</v>
      </c>
      <c r="G89" s="50" t="n">
        <v>82.03</v>
      </c>
      <c r="H89" s="66" t="n">
        <f aca="false">1-EXP(-G89/100000)</f>
        <v>0.000819963645931732</v>
      </c>
      <c r="I89" s="67" t="n">
        <v>160</v>
      </c>
    </row>
    <row r="90" customFormat="false" ht="15" hidden="false" customHeight="true" outlineLevel="0" collapsed="false">
      <c r="B90" s="64" t="s">
        <v>323</v>
      </c>
      <c r="C90" s="65" t="s">
        <v>324</v>
      </c>
      <c r="D90" s="65" t="s">
        <v>465</v>
      </c>
      <c r="E90" s="65" t="n">
        <v>80</v>
      </c>
      <c r="F90" s="65" t="n">
        <v>84</v>
      </c>
      <c r="G90" s="50" t="n">
        <v>66.81</v>
      </c>
      <c r="H90" s="66" t="n">
        <f aca="false">1-EXP(-G90/100000)</f>
        <v>0.000667876870888651</v>
      </c>
      <c r="I90" s="67" t="n">
        <v>96</v>
      </c>
    </row>
    <row r="91" customFormat="false" ht="15" hidden="false" customHeight="true" outlineLevel="0" collapsed="false">
      <c r="B91" s="64" t="s">
        <v>323</v>
      </c>
      <c r="C91" s="65" t="s">
        <v>324</v>
      </c>
      <c r="D91" s="65" t="s">
        <v>465</v>
      </c>
      <c r="E91" s="65" t="n">
        <v>85</v>
      </c>
      <c r="F91" s="65" t="s">
        <v>464</v>
      </c>
      <c r="G91" s="50" t="n">
        <v>52.19</v>
      </c>
      <c r="H91" s="66" t="n">
        <f aca="false">1-EXP(-G91/100000)</f>
        <v>0.000521763833884359</v>
      </c>
      <c r="I91" s="67" t="n">
        <v>72</v>
      </c>
    </row>
    <row r="93" customFormat="false" ht="15" hidden="false" customHeight="true" outlineLevel="0" collapsed="false">
      <c r="B93" s="62" t="s">
        <v>326</v>
      </c>
    </row>
    <row r="94" customFormat="false" ht="15" hidden="false" customHeight="true" outlineLevel="0" collapsed="false">
      <c r="B94" s="64" t="s">
        <v>326</v>
      </c>
      <c r="C94" s="65" t="s">
        <v>327</v>
      </c>
      <c r="D94" s="65" t="s">
        <v>463</v>
      </c>
      <c r="E94" s="65" t="n">
        <v>30</v>
      </c>
      <c r="F94" s="65" t="n">
        <v>34</v>
      </c>
      <c r="G94" s="50" t="n">
        <v>0</v>
      </c>
      <c r="H94" s="66" t="n">
        <f aca="false">1-EXP(-G94/100000)</f>
        <v>0</v>
      </c>
      <c r="I94" s="65" t="s">
        <v>467</v>
      </c>
    </row>
    <row r="95" customFormat="false" ht="15" hidden="false" customHeight="true" outlineLevel="0" collapsed="false">
      <c r="B95" s="64" t="s">
        <v>326</v>
      </c>
      <c r="C95" s="65" t="s">
        <v>327</v>
      </c>
      <c r="D95" s="65" t="s">
        <v>463</v>
      </c>
      <c r="E95" s="65" t="n">
        <v>35</v>
      </c>
      <c r="F95" s="65" t="n">
        <v>39</v>
      </c>
      <c r="G95" s="50" t="n">
        <v>0.69</v>
      </c>
      <c r="H95" s="66" t="n">
        <f aca="false">1-EXP(-G95/100000)</f>
        <v>6.89997619507388E-006</v>
      </c>
      <c r="I95" s="65" t="s">
        <v>467</v>
      </c>
    </row>
    <row r="96" customFormat="false" ht="15" hidden="false" customHeight="true" outlineLevel="0" collapsed="false">
      <c r="B96" s="64" t="s">
        <v>326</v>
      </c>
      <c r="C96" s="65" t="s">
        <v>327</v>
      </c>
      <c r="D96" s="65" t="s">
        <v>463</v>
      </c>
      <c r="E96" s="65" t="n">
        <v>40</v>
      </c>
      <c r="F96" s="65" t="n">
        <v>44</v>
      </c>
      <c r="G96" s="50" t="n">
        <v>8.72</v>
      </c>
      <c r="H96" s="66" t="n">
        <f aca="false">1-EXP(-G96/100000)</f>
        <v>8.71961981905312E-005</v>
      </c>
      <c r="I96" s="67" t="n">
        <v>48</v>
      </c>
    </row>
    <row r="97" customFormat="false" ht="15" hidden="false" customHeight="true" outlineLevel="0" collapsed="false">
      <c r="B97" s="64" t="s">
        <v>326</v>
      </c>
      <c r="C97" s="65" t="s">
        <v>327</v>
      </c>
      <c r="D97" s="65" t="s">
        <v>463</v>
      </c>
      <c r="E97" s="65" t="n">
        <v>45</v>
      </c>
      <c r="F97" s="65" t="n">
        <v>49</v>
      </c>
      <c r="G97" s="50" t="n">
        <v>40.39</v>
      </c>
      <c r="H97" s="66" t="n">
        <f aca="false">1-EXP(-G97/100000)</f>
        <v>0.000403818443375559</v>
      </c>
      <c r="I97" s="67" t="n">
        <v>208</v>
      </c>
    </row>
    <row r="98" customFormat="false" ht="15" hidden="false" customHeight="true" outlineLevel="0" collapsed="false">
      <c r="B98" s="64" t="s">
        <v>326</v>
      </c>
      <c r="C98" s="65" t="s">
        <v>327</v>
      </c>
      <c r="D98" s="65" t="s">
        <v>463</v>
      </c>
      <c r="E98" s="65" t="n">
        <v>50</v>
      </c>
      <c r="F98" s="65" t="n">
        <v>54</v>
      </c>
      <c r="G98" s="50" t="n">
        <v>141</v>
      </c>
      <c r="H98" s="66" t="n">
        <f aca="false">1-EXP(-G98/100000)</f>
        <v>0.00140900641703889</v>
      </c>
      <c r="I98" s="67" t="n">
        <v>648</v>
      </c>
    </row>
    <row r="99" customFormat="false" ht="15" hidden="false" customHeight="true" outlineLevel="0" collapsed="false">
      <c r="B99" s="64" t="s">
        <v>326</v>
      </c>
      <c r="C99" s="65" t="s">
        <v>327</v>
      </c>
      <c r="D99" s="65" t="s">
        <v>463</v>
      </c>
      <c r="E99" s="65" t="n">
        <v>55</v>
      </c>
      <c r="F99" s="65" t="n">
        <v>59</v>
      </c>
      <c r="G99" s="50" t="n">
        <v>350.82</v>
      </c>
      <c r="H99" s="66" t="n">
        <f aca="false">1-EXP(-G99/100000)</f>
        <v>0.0035020534562491</v>
      </c>
      <c r="I99" s="67" t="n">
        <v>1465</v>
      </c>
    </row>
    <row r="100" customFormat="false" ht="15" hidden="false" customHeight="true" outlineLevel="0" collapsed="false">
      <c r="B100" s="64" t="s">
        <v>326</v>
      </c>
      <c r="C100" s="65" t="s">
        <v>327</v>
      </c>
      <c r="D100" s="65" t="s">
        <v>463</v>
      </c>
      <c r="E100" s="65" t="n">
        <v>60</v>
      </c>
      <c r="F100" s="65" t="n">
        <v>64</v>
      </c>
      <c r="G100" s="50" t="n">
        <v>565.03</v>
      </c>
      <c r="H100" s="66" t="n">
        <f aca="false">1-EXP(-G100/100000)</f>
        <v>0.00563436707767651</v>
      </c>
      <c r="I100" s="67" t="n">
        <v>2096</v>
      </c>
    </row>
    <row r="101" customFormat="false" ht="15" hidden="false" customHeight="true" outlineLevel="0" collapsed="false">
      <c r="B101" s="64" t="s">
        <v>326</v>
      </c>
      <c r="C101" s="65" t="s">
        <v>327</v>
      </c>
      <c r="D101" s="65" t="s">
        <v>463</v>
      </c>
      <c r="E101" s="65" t="n">
        <v>65</v>
      </c>
      <c r="F101" s="65" t="n">
        <v>69</v>
      </c>
      <c r="G101" s="50" t="n">
        <v>870.95</v>
      </c>
      <c r="H101" s="66" t="n">
        <f aca="false">1-EXP(-G101/100000)</f>
        <v>0.00867168217596059</v>
      </c>
      <c r="I101" s="67" t="n">
        <v>2812</v>
      </c>
    </row>
    <row r="102" customFormat="false" ht="15" hidden="false" customHeight="true" outlineLevel="0" collapsed="false">
      <c r="B102" s="64" t="s">
        <v>326</v>
      </c>
      <c r="C102" s="65" t="s">
        <v>327</v>
      </c>
      <c r="D102" s="65" t="s">
        <v>463</v>
      </c>
      <c r="E102" s="65" t="n">
        <v>70</v>
      </c>
      <c r="F102" s="65" t="n">
        <v>74</v>
      </c>
      <c r="G102" s="50" t="n">
        <v>832.81</v>
      </c>
      <c r="H102" s="66" t="n">
        <f aca="false">1-EXP(-G102/100000)</f>
        <v>0.00829351744411233</v>
      </c>
      <c r="I102" s="67" t="n">
        <v>2186</v>
      </c>
    </row>
    <row r="103" customFormat="false" ht="15" hidden="false" customHeight="true" outlineLevel="0" collapsed="false">
      <c r="B103" s="64" t="s">
        <v>326</v>
      </c>
      <c r="C103" s="65" t="s">
        <v>327</v>
      </c>
      <c r="D103" s="65" t="s">
        <v>463</v>
      </c>
      <c r="E103" s="65" t="n">
        <v>75</v>
      </c>
      <c r="F103" s="65" t="n">
        <v>79</v>
      </c>
      <c r="G103" s="50" t="n">
        <v>738.8</v>
      </c>
      <c r="H103" s="66" t="n">
        <f aca="false">1-EXP(-G103/100000)</f>
        <v>0.00736077581335348</v>
      </c>
      <c r="I103" s="67" t="n">
        <v>1294</v>
      </c>
    </row>
    <row r="104" customFormat="false" ht="15" hidden="false" customHeight="true" outlineLevel="0" collapsed="false">
      <c r="B104" s="64" t="s">
        <v>326</v>
      </c>
      <c r="C104" s="65" t="s">
        <v>327</v>
      </c>
      <c r="D104" s="65" t="s">
        <v>463</v>
      </c>
      <c r="E104" s="65" t="n">
        <v>80</v>
      </c>
      <c r="F104" s="65" t="n">
        <v>84</v>
      </c>
      <c r="G104" s="50" t="n">
        <v>590.86</v>
      </c>
      <c r="H104" s="66" t="n">
        <f aca="false">1-EXP(-G104/100000)</f>
        <v>0.00589117855203059</v>
      </c>
      <c r="I104" s="67" t="n">
        <v>669</v>
      </c>
    </row>
    <row r="105" customFormat="false" ht="15" hidden="false" customHeight="true" outlineLevel="0" collapsed="false">
      <c r="B105" s="64" t="s">
        <v>326</v>
      </c>
      <c r="C105" s="65" t="s">
        <v>327</v>
      </c>
      <c r="D105" s="65" t="s">
        <v>463</v>
      </c>
      <c r="E105" s="65" t="n">
        <v>85</v>
      </c>
      <c r="F105" s="65" t="s">
        <v>464</v>
      </c>
      <c r="G105" s="50" t="n">
        <v>498.08</v>
      </c>
      <c r="H105" s="66" t="n">
        <f aca="false">1-EXP(-G105/100000)</f>
        <v>0.00496841638431533</v>
      </c>
      <c r="I105" s="67" t="n">
        <v>384</v>
      </c>
    </row>
    <row r="107" customFormat="false" ht="15" hidden="false" customHeight="true" outlineLevel="0" collapsed="false">
      <c r="B107" s="62" t="s">
        <v>329</v>
      </c>
    </row>
    <row r="108" customFormat="false" ht="15" hidden="false" customHeight="true" outlineLevel="0" collapsed="false">
      <c r="B108" s="64" t="s">
        <v>329</v>
      </c>
      <c r="C108" s="65" t="s">
        <v>330</v>
      </c>
      <c r="D108" s="65" t="s">
        <v>463</v>
      </c>
      <c r="E108" s="65" t="n">
        <v>30</v>
      </c>
      <c r="F108" s="65" t="n">
        <v>34</v>
      </c>
      <c r="G108" s="50" t="n">
        <v>4.48</v>
      </c>
      <c r="H108" s="66" t="n">
        <f aca="false">1-EXP(-G108/100000)</f>
        <v>4.47989964950102E-005</v>
      </c>
      <c r="I108" s="67" t="n">
        <v>22</v>
      </c>
    </row>
    <row r="109" customFormat="false" ht="15" hidden="false" customHeight="true" outlineLevel="0" collapsed="false">
      <c r="B109" s="64" t="s">
        <v>329</v>
      </c>
      <c r="C109" s="65" t="s">
        <v>330</v>
      </c>
      <c r="D109" s="65" t="s">
        <v>463</v>
      </c>
      <c r="E109" s="65" t="n">
        <v>35</v>
      </c>
      <c r="F109" s="65" t="n">
        <v>39</v>
      </c>
      <c r="G109" s="50" t="n">
        <v>10.69</v>
      </c>
      <c r="H109" s="66" t="n">
        <f aca="false">1-EXP(-G109/100000)</f>
        <v>0.000106894286398651</v>
      </c>
      <c r="I109" s="67" t="n">
        <v>62</v>
      </c>
    </row>
    <row r="110" customFormat="false" ht="15" hidden="false" customHeight="true" outlineLevel="0" collapsed="false">
      <c r="B110" s="64" t="s">
        <v>329</v>
      </c>
      <c r="C110" s="65" t="s">
        <v>330</v>
      </c>
      <c r="D110" s="65" t="s">
        <v>463</v>
      </c>
      <c r="E110" s="65" t="n">
        <v>40</v>
      </c>
      <c r="F110" s="65" t="n">
        <v>44</v>
      </c>
      <c r="G110" s="50" t="n">
        <v>17.44</v>
      </c>
      <c r="H110" s="66" t="n">
        <f aca="false">1-EXP(-G110/100000)</f>
        <v>0.000174384793204085</v>
      </c>
      <c r="I110" s="67" t="n">
        <v>96</v>
      </c>
    </row>
    <row r="111" customFormat="false" ht="15" hidden="false" customHeight="true" outlineLevel="0" collapsed="false">
      <c r="B111" s="64" t="s">
        <v>329</v>
      </c>
      <c r="C111" s="65" t="s">
        <v>330</v>
      </c>
      <c r="D111" s="65" t="s">
        <v>463</v>
      </c>
      <c r="E111" s="65" t="n">
        <v>45</v>
      </c>
      <c r="F111" s="65" t="n">
        <v>49</v>
      </c>
      <c r="G111" s="50" t="n">
        <v>29.12</v>
      </c>
      <c r="H111" s="66" t="n">
        <f aca="false">1-EXP(-G111/100000)</f>
        <v>0.00029115760539522</v>
      </c>
      <c r="I111" s="67" t="n">
        <v>150</v>
      </c>
    </row>
    <row r="112" customFormat="false" ht="15" hidden="false" customHeight="true" outlineLevel="0" collapsed="false">
      <c r="B112" s="64" t="s">
        <v>329</v>
      </c>
      <c r="C112" s="65" t="s">
        <v>330</v>
      </c>
      <c r="D112" s="65" t="s">
        <v>463</v>
      </c>
      <c r="E112" s="65" t="n">
        <v>50</v>
      </c>
      <c r="F112" s="65" t="n">
        <v>54</v>
      </c>
      <c r="G112" s="50" t="n">
        <v>58.1</v>
      </c>
      <c r="H112" s="66" t="n">
        <f aca="false">1-EXP(-G112/100000)</f>
        <v>0.000580831252182446</v>
      </c>
      <c r="I112" s="67" t="n">
        <v>267</v>
      </c>
    </row>
    <row r="113" customFormat="false" ht="15" hidden="false" customHeight="true" outlineLevel="0" collapsed="false">
      <c r="B113" s="64" t="s">
        <v>329</v>
      </c>
      <c r="C113" s="65" t="s">
        <v>330</v>
      </c>
      <c r="D113" s="65" t="s">
        <v>463</v>
      </c>
      <c r="E113" s="65" t="n">
        <v>55</v>
      </c>
      <c r="F113" s="65" t="n">
        <v>59</v>
      </c>
      <c r="G113" s="50" t="n">
        <v>91.24</v>
      </c>
      <c r="H113" s="66" t="n">
        <f aca="false">1-EXP(-G113/100000)</f>
        <v>0.000911983889682611</v>
      </c>
      <c r="I113" s="67" t="n">
        <v>381</v>
      </c>
    </row>
    <row r="114" customFormat="false" ht="15" hidden="false" customHeight="true" outlineLevel="0" collapsed="false">
      <c r="B114" s="64" t="s">
        <v>329</v>
      </c>
      <c r="C114" s="65" t="s">
        <v>330</v>
      </c>
      <c r="D114" s="65" t="s">
        <v>463</v>
      </c>
      <c r="E114" s="65" t="n">
        <v>60</v>
      </c>
      <c r="F114" s="65" t="n">
        <v>64</v>
      </c>
      <c r="G114" s="50" t="n">
        <v>159.32</v>
      </c>
      <c r="H114" s="66" t="n">
        <f aca="false">1-EXP(-G114/100000)</f>
        <v>0.00159193153061121</v>
      </c>
      <c r="I114" s="67" t="n">
        <v>591</v>
      </c>
    </row>
    <row r="115" customFormat="false" ht="15" hidden="false" customHeight="true" outlineLevel="0" collapsed="false">
      <c r="B115" s="64" t="s">
        <v>329</v>
      </c>
      <c r="C115" s="65" t="s">
        <v>330</v>
      </c>
      <c r="D115" s="65" t="s">
        <v>463</v>
      </c>
      <c r="E115" s="65" t="n">
        <v>65</v>
      </c>
      <c r="F115" s="65" t="n">
        <v>69</v>
      </c>
      <c r="G115" s="50" t="n">
        <v>221.46</v>
      </c>
      <c r="H115" s="66" t="n">
        <f aca="false">1-EXP(-G115/100000)</f>
        <v>0.00221214958265192</v>
      </c>
      <c r="I115" s="67" t="n">
        <v>715</v>
      </c>
    </row>
    <row r="116" customFormat="false" ht="15" hidden="false" customHeight="true" outlineLevel="0" collapsed="false">
      <c r="B116" s="64" t="s">
        <v>329</v>
      </c>
      <c r="C116" s="65" t="s">
        <v>330</v>
      </c>
      <c r="D116" s="65" t="s">
        <v>463</v>
      </c>
      <c r="E116" s="65" t="n">
        <v>70</v>
      </c>
      <c r="F116" s="65" t="n">
        <v>74</v>
      </c>
      <c r="G116" s="50" t="n">
        <v>266.3</v>
      </c>
      <c r="H116" s="66" t="n">
        <f aca="false">1-EXP(-G116/100000)</f>
        <v>0.00265945736088036</v>
      </c>
      <c r="I116" s="67" t="n">
        <v>699</v>
      </c>
    </row>
    <row r="117" customFormat="false" ht="15" hidden="false" customHeight="true" outlineLevel="0" collapsed="false">
      <c r="B117" s="64" t="s">
        <v>329</v>
      </c>
      <c r="C117" s="65" t="s">
        <v>330</v>
      </c>
      <c r="D117" s="65" t="s">
        <v>463</v>
      </c>
      <c r="E117" s="65" t="n">
        <v>75</v>
      </c>
      <c r="F117" s="65" t="n">
        <v>79</v>
      </c>
      <c r="G117" s="50" t="n">
        <v>421.93</v>
      </c>
      <c r="H117" s="66" t="n">
        <f aca="false">1-EXP(-G117/100000)</f>
        <v>0.00421041125957022</v>
      </c>
      <c r="I117" s="67" t="n">
        <v>739</v>
      </c>
    </row>
    <row r="118" customFormat="false" ht="15" hidden="false" customHeight="true" outlineLevel="0" collapsed="false">
      <c r="B118" s="64" t="s">
        <v>329</v>
      </c>
      <c r="C118" s="65" t="s">
        <v>330</v>
      </c>
      <c r="D118" s="65" t="s">
        <v>463</v>
      </c>
      <c r="E118" s="65" t="n">
        <v>80</v>
      </c>
      <c r="F118" s="65" t="n">
        <v>84</v>
      </c>
      <c r="G118" s="50" t="n">
        <v>489.3</v>
      </c>
      <c r="H118" s="66" t="n">
        <f aca="false">1-EXP(-G118/100000)</f>
        <v>0.00488104877589202</v>
      </c>
      <c r="I118" s="67" t="n">
        <v>554</v>
      </c>
    </row>
    <row r="119" customFormat="false" ht="15" hidden="false" customHeight="true" outlineLevel="0" collapsed="false">
      <c r="B119" s="64" t="s">
        <v>329</v>
      </c>
      <c r="C119" s="65" t="s">
        <v>330</v>
      </c>
      <c r="D119" s="65" t="s">
        <v>463</v>
      </c>
      <c r="E119" s="65" t="n">
        <v>85</v>
      </c>
      <c r="F119" s="65" t="s">
        <v>464</v>
      </c>
      <c r="G119" s="50" t="n">
        <v>518.83</v>
      </c>
      <c r="H119" s="66" t="n">
        <f aca="false">1-EXP(-G119/100000)</f>
        <v>0.00517486401823286</v>
      </c>
      <c r="I119" s="67" t="n">
        <v>400</v>
      </c>
    </row>
    <row r="121" customFormat="false" ht="15" hidden="false" customHeight="true" outlineLevel="0" collapsed="false">
      <c r="B121" s="62" t="s">
        <v>329</v>
      </c>
    </row>
    <row r="122" customFormat="false" ht="15" hidden="false" customHeight="true" outlineLevel="0" collapsed="false">
      <c r="B122" s="64" t="s">
        <v>329</v>
      </c>
      <c r="C122" s="65" t="s">
        <v>330</v>
      </c>
      <c r="D122" s="65" t="s">
        <v>465</v>
      </c>
      <c r="E122" s="65" t="n">
        <v>30</v>
      </c>
      <c r="F122" s="65" t="n">
        <v>34</v>
      </c>
      <c r="G122" s="50" t="n">
        <v>7.93</v>
      </c>
      <c r="H122" s="66" t="n">
        <f aca="false">1-EXP(-G122/100000)</f>
        <v>7.92968558380736E-005</v>
      </c>
      <c r="I122" s="67" t="n">
        <v>42</v>
      </c>
    </row>
    <row r="123" customFormat="false" ht="15" hidden="false" customHeight="true" outlineLevel="0" collapsed="false">
      <c r="B123" s="64" t="s">
        <v>329</v>
      </c>
      <c r="C123" s="65" t="s">
        <v>330</v>
      </c>
      <c r="D123" s="65" t="s">
        <v>465</v>
      </c>
      <c r="E123" s="65" t="n">
        <v>35</v>
      </c>
      <c r="F123" s="65" t="n">
        <v>39</v>
      </c>
      <c r="G123" s="50" t="n">
        <v>9.74</v>
      </c>
      <c r="H123" s="66" t="n">
        <f aca="false">1-EXP(-G123/100000)</f>
        <v>9.73952567739911E-005</v>
      </c>
      <c r="I123" s="67" t="n">
        <v>60</v>
      </c>
    </row>
    <row r="124" customFormat="false" ht="15" hidden="false" customHeight="true" outlineLevel="0" collapsed="false">
      <c r="B124" s="64" t="s">
        <v>329</v>
      </c>
      <c r="C124" s="65" t="s">
        <v>330</v>
      </c>
      <c r="D124" s="65" t="s">
        <v>465</v>
      </c>
      <c r="E124" s="65" t="n">
        <v>40</v>
      </c>
      <c r="F124" s="65" t="n">
        <v>44</v>
      </c>
      <c r="G124" s="50" t="n">
        <v>16.97</v>
      </c>
      <c r="H124" s="66" t="n">
        <f aca="false">1-EXP(-G124/100000)</f>
        <v>0.000169685601769443</v>
      </c>
      <c r="I124" s="67" t="n">
        <v>96</v>
      </c>
    </row>
    <row r="125" customFormat="false" ht="15" hidden="false" customHeight="true" outlineLevel="0" collapsed="false">
      <c r="B125" s="64" t="s">
        <v>329</v>
      </c>
      <c r="C125" s="65" t="s">
        <v>330</v>
      </c>
      <c r="D125" s="65" t="s">
        <v>465</v>
      </c>
      <c r="E125" s="65" t="n">
        <v>45</v>
      </c>
      <c r="F125" s="65" t="n">
        <v>49</v>
      </c>
      <c r="G125" s="50" t="n">
        <v>27.25</v>
      </c>
      <c r="H125" s="66" t="n">
        <f aca="false">1-EXP(-G125/100000)</f>
        <v>0.000272462875247292</v>
      </c>
      <c r="I125" s="67" t="n">
        <v>141</v>
      </c>
    </row>
    <row r="126" customFormat="false" ht="15" hidden="false" customHeight="true" outlineLevel="0" collapsed="false">
      <c r="B126" s="64" t="s">
        <v>329</v>
      </c>
      <c r="C126" s="65" t="s">
        <v>330</v>
      </c>
      <c r="D126" s="65" t="s">
        <v>465</v>
      </c>
      <c r="E126" s="65" t="n">
        <v>50</v>
      </c>
      <c r="F126" s="65" t="n">
        <v>54</v>
      </c>
      <c r="G126" s="50" t="n">
        <v>41.33</v>
      </c>
      <c r="H126" s="66" t="n">
        <f aca="false">1-EXP(-G126/100000)</f>
        <v>0.000413214603320222</v>
      </c>
      <c r="I126" s="67" t="n">
        <v>193</v>
      </c>
    </row>
    <row r="127" customFormat="false" ht="15" hidden="false" customHeight="true" outlineLevel="0" collapsed="false">
      <c r="B127" s="64" t="s">
        <v>329</v>
      </c>
      <c r="C127" s="65" t="s">
        <v>330</v>
      </c>
      <c r="D127" s="65" t="s">
        <v>465</v>
      </c>
      <c r="E127" s="65" t="n">
        <v>55</v>
      </c>
      <c r="F127" s="65" t="n">
        <v>59</v>
      </c>
      <c r="G127" s="50" t="n">
        <v>64.59</v>
      </c>
      <c r="H127" s="66" t="n">
        <f aca="false">1-EXP(-G127/100000)</f>
        <v>0.000645691451497954</v>
      </c>
      <c r="I127" s="67" t="n">
        <v>276</v>
      </c>
    </row>
    <row r="128" customFormat="false" ht="15" hidden="false" customHeight="true" outlineLevel="0" collapsed="false">
      <c r="B128" s="64" t="s">
        <v>329</v>
      </c>
      <c r="C128" s="65" t="s">
        <v>330</v>
      </c>
      <c r="D128" s="65" t="s">
        <v>465</v>
      </c>
      <c r="E128" s="65" t="n">
        <v>60</v>
      </c>
      <c r="F128" s="65" t="n">
        <v>64</v>
      </c>
      <c r="G128" s="50" t="n">
        <v>101.38</v>
      </c>
      <c r="H128" s="66" t="n">
        <f aca="false">1-EXP(-G128/100000)</f>
        <v>0.00101328627839836</v>
      </c>
      <c r="I128" s="67" t="n">
        <v>382</v>
      </c>
    </row>
    <row r="129" customFormat="false" ht="15" hidden="false" customHeight="true" outlineLevel="0" collapsed="false">
      <c r="B129" s="64" t="s">
        <v>329</v>
      </c>
      <c r="C129" s="65" t="s">
        <v>330</v>
      </c>
      <c r="D129" s="65" t="s">
        <v>465</v>
      </c>
      <c r="E129" s="65" t="n">
        <v>65</v>
      </c>
      <c r="F129" s="65" t="n">
        <v>69</v>
      </c>
      <c r="G129" s="50" t="n">
        <v>134.55</v>
      </c>
      <c r="H129" s="66" t="n">
        <f aca="false">1-EXP(-G129/100000)</f>
        <v>0.00134459522071395</v>
      </c>
      <c r="I129" s="67" t="n">
        <v>443</v>
      </c>
    </row>
    <row r="130" customFormat="false" ht="15" hidden="false" customHeight="true" outlineLevel="0" collapsed="false">
      <c r="B130" s="64" t="s">
        <v>329</v>
      </c>
      <c r="C130" s="65" t="s">
        <v>330</v>
      </c>
      <c r="D130" s="65" t="s">
        <v>465</v>
      </c>
      <c r="E130" s="65" t="n">
        <v>70</v>
      </c>
      <c r="F130" s="65" t="n">
        <v>74</v>
      </c>
      <c r="G130" s="50" t="n">
        <v>166.02</v>
      </c>
      <c r="H130" s="66" t="n">
        <f aca="false">1-EXP(-G130/100000)</f>
        <v>0.0016588226303218</v>
      </c>
      <c r="I130" s="67" t="n">
        <v>454</v>
      </c>
    </row>
    <row r="131" customFormat="false" ht="15" hidden="false" customHeight="true" outlineLevel="0" collapsed="false">
      <c r="B131" s="64" t="s">
        <v>329</v>
      </c>
      <c r="C131" s="65" t="s">
        <v>330</v>
      </c>
      <c r="D131" s="65" t="s">
        <v>465</v>
      </c>
      <c r="E131" s="65" t="n">
        <v>75</v>
      </c>
      <c r="F131" s="65" t="n">
        <v>79</v>
      </c>
      <c r="G131" s="50" t="n">
        <v>231.21</v>
      </c>
      <c r="H131" s="66" t="n">
        <f aca="false">1-EXP(-G131/100000)</f>
        <v>0.00230942915561128</v>
      </c>
      <c r="I131" s="67" t="n">
        <v>451</v>
      </c>
    </row>
    <row r="132" customFormat="false" ht="15" hidden="false" customHeight="true" outlineLevel="0" collapsed="false">
      <c r="B132" s="64" t="s">
        <v>329</v>
      </c>
      <c r="C132" s="65" t="s">
        <v>330</v>
      </c>
      <c r="D132" s="65" t="s">
        <v>465</v>
      </c>
      <c r="E132" s="65" t="n">
        <v>80</v>
      </c>
      <c r="F132" s="65" t="n">
        <v>84</v>
      </c>
      <c r="G132" s="50" t="n">
        <v>311.08</v>
      </c>
      <c r="H132" s="66" t="n">
        <f aca="false">1-EXP(-G132/100000)</f>
        <v>0.00310596647502215</v>
      </c>
      <c r="I132" s="67" t="n">
        <v>447</v>
      </c>
    </row>
    <row r="133" customFormat="false" ht="15" hidden="false" customHeight="true" outlineLevel="0" collapsed="false">
      <c r="B133" s="64" t="s">
        <v>329</v>
      </c>
      <c r="C133" s="65" t="s">
        <v>330</v>
      </c>
      <c r="D133" s="65" t="s">
        <v>465</v>
      </c>
      <c r="E133" s="65" t="n">
        <v>85</v>
      </c>
      <c r="F133" s="65" t="s">
        <v>464</v>
      </c>
      <c r="G133" s="50" t="n">
        <v>335.64</v>
      </c>
      <c r="H133" s="66" t="n">
        <f aca="false">1-EXP(-G133/100000)</f>
        <v>0.00335077358611213</v>
      </c>
      <c r="I133" s="67" t="n">
        <v>463</v>
      </c>
    </row>
    <row r="135" customFormat="false" ht="15" hidden="false" customHeight="true" outlineLevel="0" collapsed="false">
      <c r="B135" s="62" t="s">
        <v>332</v>
      </c>
    </row>
    <row r="136" customFormat="false" ht="15" hidden="false" customHeight="true" outlineLevel="0" collapsed="false">
      <c r="B136" s="64" t="s">
        <v>332</v>
      </c>
      <c r="C136" s="65" t="s">
        <v>333</v>
      </c>
      <c r="D136" s="65" t="s">
        <v>463</v>
      </c>
      <c r="E136" s="65" t="n">
        <v>30</v>
      </c>
      <c r="F136" s="65" t="n">
        <v>34</v>
      </c>
      <c r="G136" s="50" t="n">
        <v>0.81</v>
      </c>
      <c r="H136" s="66" t="n">
        <f aca="false">1-EXP(-G136/100000)</f>
        <v>8.09996719508543E-006</v>
      </c>
      <c r="I136" s="65" t="s">
        <v>467</v>
      </c>
    </row>
    <row r="137" customFormat="false" ht="15" hidden="false" customHeight="true" outlineLevel="0" collapsed="false">
      <c r="B137" s="64" t="s">
        <v>332</v>
      </c>
      <c r="C137" s="65" t="s">
        <v>333</v>
      </c>
      <c r="D137" s="65" t="s">
        <v>463</v>
      </c>
      <c r="E137" s="65" t="n">
        <v>35</v>
      </c>
      <c r="F137" s="65" t="n">
        <v>39</v>
      </c>
      <c r="G137" s="50" t="n">
        <v>2.76</v>
      </c>
      <c r="H137" s="66" t="n">
        <f aca="false">1-EXP(-G137/100000)</f>
        <v>2.7599619123464E-005</v>
      </c>
      <c r="I137" s="67" t="n">
        <v>16</v>
      </c>
    </row>
    <row r="138" customFormat="false" ht="15" hidden="false" customHeight="true" outlineLevel="0" collapsed="false">
      <c r="B138" s="64" t="s">
        <v>332</v>
      </c>
      <c r="C138" s="65" t="s">
        <v>333</v>
      </c>
      <c r="D138" s="65" t="s">
        <v>463</v>
      </c>
      <c r="E138" s="65" t="n">
        <v>40</v>
      </c>
      <c r="F138" s="65" t="n">
        <v>44</v>
      </c>
      <c r="G138" s="50" t="n">
        <v>7.08</v>
      </c>
      <c r="H138" s="66" t="n">
        <f aca="false">1-EXP(-G138/100000)</f>
        <v>7.0797493739172E-005</v>
      </c>
      <c r="I138" s="67" t="n">
        <v>39</v>
      </c>
    </row>
    <row r="139" customFormat="false" ht="15" hidden="false" customHeight="true" outlineLevel="0" collapsed="false">
      <c r="B139" s="64" t="s">
        <v>332</v>
      </c>
      <c r="C139" s="65" t="s">
        <v>333</v>
      </c>
      <c r="D139" s="65" t="s">
        <v>463</v>
      </c>
      <c r="E139" s="65" t="n">
        <v>45</v>
      </c>
      <c r="F139" s="65" t="n">
        <v>49</v>
      </c>
      <c r="G139" s="50" t="n">
        <v>15.14</v>
      </c>
      <c r="H139" s="66" t="n">
        <f aca="false">1-EXP(-G139/100000)</f>
        <v>0.000151388539598396</v>
      </c>
      <c r="I139" s="67" t="n">
        <v>78</v>
      </c>
    </row>
    <row r="140" customFormat="false" ht="15" hidden="false" customHeight="true" outlineLevel="0" collapsed="false">
      <c r="B140" s="64" t="s">
        <v>332</v>
      </c>
      <c r="C140" s="65" t="s">
        <v>333</v>
      </c>
      <c r="D140" s="65" t="s">
        <v>463</v>
      </c>
      <c r="E140" s="65" t="n">
        <v>50</v>
      </c>
      <c r="F140" s="65" t="n">
        <v>54</v>
      </c>
      <c r="G140" s="50" t="n">
        <v>37.42</v>
      </c>
      <c r="H140" s="66" t="n">
        <f aca="false">1-EXP(-G140/100000)</f>
        <v>0.000374129995912131</v>
      </c>
      <c r="I140" s="67" t="n">
        <v>172</v>
      </c>
    </row>
    <row r="141" customFormat="false" ht="15" hidden="false" customHeight="true" outlineLevel="0" collapsed="false">
      <c r="B141" s="64" t="s">
        <v>332</v>
      </c>
      <c r="C141" s="65" t="s">
        <v>333</v>
      </c>
      <c r="D141" s="65" t="s">
        <v>463</v>
      </c>
      <c r="E141" s="65" t="n">
        <v>55</v>
      </c>
      <c r="F141" s="65" t="n">
        <v>59</v>
      </c>
      <c r="G141" s="50" t="n">
        <v>73.04</v>
      </c>
      <c r="H141" s="66" t="n">
        <f aca="false">1-EXP(-G141/100000)</f>
        <v>0.00073013332285099</v>
      </c>
      <c r="I141" s="67" t="n">
        <v>305</v>
      </c>
    </row>
    <row r="142" customFormat="false" ht="15" hidden="false" customHeight="true" outlineLevel="0" collapsed="false">
      <c r="B142" s="64" t="s">
        <v>332</v>
      </c>
      <c r="C142" s="65" t="s">
        <v>333</v>
      </c>
      <c r="D142" s="65" t="s">
        <v>463</v>
      </c>
      <c r="E142" s="65" t="n">
        <v>60</v>
      </c>
      <c r="F142" s="65" t="n">
        <v>64</v>
      </c>
      <c r="G142" s="50" t="n">
        <v>139.37</v>
      </c>
      <c r="H142" s="66" t="n">
        <f aca="false">1-EXP(-G142/100000)</f>
        <v>0.00139272925118494</v>
      </c>
      <c r="I142" s="67" t="n">
        <v>517</v>
      </c>
    </row>
    <row r="143" customFormat="false" ht="15" hidden="false" customHeight="true" outlineLevel="0" collapsed="false">
      <c r="B143" s="64" t="s">
        <v>332</v>
      </c>
      <c r="C143" s="65" t="s">
        <v>333</v>
      </c>
      <c r="D143" s="65" t="s">
        <v>463</v>
      </c>
      <c r="E143" s="65" t="n">
        <v>65</v>
      </c>
      <c r="F143" s="65" t="n">
        <v>69</v>
      </c>
      <c r="G143" s="50" t="n">
        <v>223</v>
      </c>
      <c r="H143" s="66" t="n">
        <f aca="false">1-EXP(-G143/100000)</f>
        <v>0.00222751539723121</v>
      </c>
      <c r="I143" s="67" t="n">
        <v>720</v>
      </c>
    </row>
    <row r="144" customFormat="false" ht="15" hidden="false" customHeight="true" outlineLevel="0" collapsed="false">
      <c r="B144" s="64" t="s">
        <v>332</v>
      </c>
      <c r="C144" s="65" t="s">
        <v>333</v>
      </c>
      <c r="D144" s="65" t="s">
        <v>463</v>
      </c>
      <c r="E144" s="65" t="n">
        <v>70</v>
      </c>
      <c r="F144" s="65" t="n">
        <v>74</v>
      </c>
      <c r="G144" s="50" t="n">
        <v>349.35</v>
      </c>
      <c r="H144" s="66" t="n">
        <f aca="false">1-EXP(-G144/100000)</f>
        <v>0.00348740482876775</v>
      </c>
      <c r="I144" s="67" t="n">
        <v>917</v>
      </c>
    </row>
    <row r="145" customFormat="false" ht="15" hidden="false" customHeight="true" outlineLevel="0" collapsed="false">
      <c r="B145" s="64" t="s">
        <v>332</v>
      </c>
      <c r="C145" s="65" t="s">
        <v>333</v>
      </c>
      <c r="D145" s="65" t="s">
        <v>463</v>
      </c>
      <c r="E145" s="65" t="n">
        <v>75</v>
      </c>
      <c r="F145" s="65" t="n">
        <v>79</v>
      </c>
      <c r="G145" s="50" t="n">
        <v>431.63</v>
      </c>
      <c r="H145" s="66" t="n">
        <f aca="false">1-EXP(-G145/100000)</f>
        <v>0.00430699816513735</v>
      </c>
      <c r="I145" s="67" t="n">
        <v>756</v>
      </c>
    </row>
    <row r="146" customFormat="false" ht="15" hidden="false" customHeight="true" outlineLevel="0" collapsed="false">
      <c r="B146" s="64" t="s">
        <v>332</v>
      </c>
      <c r="C146" s="65" t="s">
        <v>333</v>
      </c>
      <c r="D146" s="65" t="s">
        <v>463</v>
      </c>
      <c r="E146" s="65" t="n">
        <v>80</v>
      </c>
      <c r="F146" s="65" t="n">
        <v>84</v>
      </c>
      <c r="G146" s="50" t="n">
        <v>455.73</v>
      </c>
      <c r="H146" s="66" t="n">
        <f aca="false">1-EXP(-G146/100000)</f>
        <v>0.00454693126547967</v>
      </c>
      <c r="I146" s="67" t="n">
        <v>516</v>
      </c>
    </row>
    <row r="147" customFormat="false" ht="15" hidden="false" customHeight="true" outlineLevel="0" collapsed="false">
      <c r="B147" s="64" t="s">
        <v>332</v>
      </c>
      <c r="C147" s="65" t="s">
        <v>333</v>
      </c>
      <c r="D147" s="65" t="s">
        <v>463</v>
      </c>
      <c r="E147" s="65" t="n">
        <v>85</v>
      </c>
      <c r="F147" s="65" t="s">
        <v>464</v>
      </c>
      <c r="G147" s="50" t="n">
        <v>473.44</v>
      </c>
      <c r="H147" s="66" t="n">
        <f aca="false">1-EXP(-G147/100000)</f>
        <v>0.00472321039397494</v>
      </c>
      <c r="I147" s="67" t="n">
        <v>365</v>
      </c>
    </row>
    <row r="149" customFormat="false" ht="15" hidden="false" customHeight="true" outlineLevel="0" collapsed="false">
      <c r="B149" s="62" t="s">
        <v>332</v>
      </c>
    </row>
    <row r="150" customFormat="false" ht="15" hidden="false" customHeight="true" outlineLevel="0" collapsed="false">
      <c r="B150" s="64" t="s">
        <v>332</v>
      </c>
      <c r="C150" s="65" t="s">
        <v>333</v>
      </c>
      <c r="D150" s="65" t="s">
        <v>465</v>
      </c>
      <c r="E150" s="65" t="n">
        <v>30</v>
      </c>
      <c r="F150" s="65" t="n">
        <v>34</v>
      </c>
      <c r="G150" s="50" t="n">
        <v>1.51</v>
      </c>
      <c r="H150" s="66" t="n">
        <f aca="false">1-EXP(-G150/100000)</f>
        <v>1.50998859955731E-005</v>
      </c>
      <c r="I150" s="67" t="n">
        <v>8</v>
      </c>
    </row>
    <row r="151" customFormat="false" ht="15" hidden="false" customHeight="true" outlineLevel="0" collapsed="false">
      <c r="B151" s="64" t="s">
        <v>332</v>
      </c>
      <c r="C151" s="65" t="s">
        <v>333</v>
      </c>
      <c r="D151" s="65" t="s">
        <v>465</v>
      </c>
      <c r="E151" s="65" t="n">
        <v>35</v>
      </c>
      <c r="F151" s="65" t="n">
        <v>39</v>
      </c>
      <c r="G151" s="50" t="n">
        <v>2.6</v>
      </c>
      <c r="H151" s="66" t="n">
        <f aca="false">1-EXP(-G151/100000)</f>
        <v>2.59996620028957E-005</v>
      </c>
      <c r="I151" s="67" t="n">
        <v>16</v>
      </c>
    </row>
    <row r="152" customFormat="false" ht="15" hidden="false" customHeight="true" outlineLevel="0" collapsed="false">
      <c r="B152" s="64" t="s">
        <v>332</v>
      </c>
      <c r="C152" s="65" t="s">
        <v>333</v>
      </c>
      <c r="D152" s="65" t="s">
        <v>465</v>
      </c>
      <c r="E152" s="65" t="n">
        <v>40</v>
      </c>
      <c r="F152" s="65" t="n">
        <v>44</v>
      </c>
      <c r="G152" s="50" t="n">
        <v>6.19</v>
      </c>
      <c r="H152" s="66" t="n">
        <f aca="false">1-EXP(-G152/100000)</f>
        <v>6.18980842345129E-005</v>
      </c>
      <c r="I152" s="67" t="n">
        <v>35</v>
      </c>
    </row>
    <row r="153" customFormat="false" ht="15" hidden="false" customHeight="true" outlineLevel="0" collapsed="false">
      <c r="B153" s="64" t="s">
        <v>332</v>
      </c>
      <c r="C153" s="65" t="s">
        <v>333</v>
      </c>
      <c r="D153" s="65" t="s">
        <v>465</v>
      </c>
      <c r="E153" s="65" t="n">
        <v>45</v>
      </c>
      <c r="F153" s="65" t="n">
        <v>49</v>
      </c>
      <c r="G153" s="50" t="n">
        <v>13.34</v>
      </c>
      <c r="H153" s="66" t="n">
        <f aca="false">1-EXP(-G153/100000)</f>
        <v>0.000133391102615676</v>
      </c>
      <c r="I153" s="67" t="n">
        <v>69</v>
      </c>
    </row>
    <row r="154" customFormat="false" ht="15" hidden="false" customHeight="true" outlineLevel="0" collapsed="false">
      <c r="B154" s="64" t="s">
        <v>332</v>
      </c>
      <c r="C154" s="65" t="s">
        <v>333</v>
      </c>
      <c r="D154" s="65" t="s">
        <v>465</v>
      </c>
      <c r="E154" s="65" t="n">
        <v>50</v>
      </c>
      <c r="F154" s="65" t="n">
        <v>54</v>
      </c>
      <c r="G154" s="50" t="n">
        <v>26.13</v>
      </c>
      <c r="H154" s="66" t="n">
        <f aca="false">1-EXP(-G154/100000)</f>
        <v>0.000261265864128335</v>
      </c>
      <c r="I154" s="67" t="n">
        <v>122</v>
      </c>
    </row>
    <row r="155" customFormat="false" ht="15" hidden="false" customHeight="true" outlineLevel="0" collapsed="false">
      <c r="B155" s="64" t="s">
        <v>332</v>
      </c>
      <c r="C155" s="65" t="s">
        <v>333</v>
      </c>
      <c r="D155" s="65" t="s">
        <v>465</v>
      </c>
      <c r="E155" s="65" t="n">
        <v>55</v>
      </c>
      <c r="F155" s="65" t="n">
        <v>59</v>
      </c>
      <c r="G155" s="50" t="n">
        <v>66.7</v>
      </c>
      <c r="H155" s="66" t="n">
        <f aca="false">1-EXP(-G155/100000)</f>
        <v>0.000666777604948599</v>
      </c>
      <c r="I155" s="67" t="n">
        <v>285</v>
      </c>
    </row>
    <row r="156" customFormat="false" ht="15" hidden="false" customHeight="true" outlineLevel="0" collapsed="false">
      <c r="B156" s="64" t="s">
        <v>332</v>
      </c>
      <c r="C156" s="65" t="s">
        <v>333</v>
      </c>
      <c r="D156" s="65" t="s">
        <v>465</v>
      </c>
      <c r="E156" s="65" t="n">
        <v>60</v>
      </c>
      <c r="F156" s="65" t="n">
        <v>64</v>
      </c>
      <c r="G156" s="50" t="n">
        <v>117.3</v>
      </c>
      <c r="H156" s="66" t="n">
        <f aca="false">1-EXP(-G156/100000)</f>
        <v>0.00117231230441528</v>
      </c>
      <c r="I156" s="67" t="n">
        <v>442</v>
      </c>
    </row>
    <row r="157" customFormat="false" ht="15" hidden="false" customHeight="true" outlineLevel="0" collapsed="false">
      <c r="B157" s="64" t="s">
        <v>332</v>
      </c>
      <c r="C157" s="65" t="s">
        <v>333</v>
      </c>
      <c r="D157" s="65" t="s">
        <v>465</v>
      </c>
      <c r="E157" s="65" t="n">
        <v>65</v>
      </c>
      <c r="F157" s="65" t="n">
        <v>69</v>
      </c>
      <c r="G157" s="50" t="n">
        <v>194.39</v>
      </c>
      <c r="H157" s="66" t="n">
        <f aca="false">1-EXP(-G157/100000)</f>
        <v>0.00194201185005138</v>
      </c>
      <c r="I157" s="67" t="n">
        <v>640</v>
      </c>
    </row>
    <row r="158" customFormat="false" ht="15" hidden="false" customHeight="true" outlineLevel="0" collapsed="false">
      <c r="B158" s="64" t="s">
        <v>332</v>
      </c>
      <c r="C158" s="65" t="s">
        <v>333</v>
      </c>
      <c r="D158" s="65" t="s">
        <v>465</v>
      </c>
      <c r="E158" s="65" t="n">
        <v>70</v>
      </c>
      <c r="F158" s="65" t="n">
        <v>74</v>
      </c>
      <c r="G158" s="50" t="n">
        <v>247.94</v>
      </c>
      <c r="H158" s="66" t="n">
        <f aca="false">1-EXP(-G158/100000)</f>
        <v>0.00247632882656679</v>
      </c>
      <c r="I158" s="67" t="n">
        <v>678</v>
      </c>
    </row>
    <row r="159" customFormat="false" ht="15" hidden="false" customHeight="true" outlineLevel="0" collapsed="false">
      <c r="B159" s="64" t="s">
        <v>332</v>
      </c>
      <c r="C159" s="65" t="s">
        <v>333</v>
      </c>
      <c r="D159" s="65" t="s">
        <v>465</v>
      </c>
      <c r="E159" s="65" t="n">
        <v>75</v>
      </c>
      <c r="F159" s="65" t="n">
        <v>79</v>
      </c>
      <c r="G159" s="50" t="n">
        <v>294.78</v>
      </c>
      <c r="H159" s="66" t="n">
        <f aca="false">1-EXP(-G159/100000)</f>
        <v>0.0029434595035992</v>
      </c>
      <c r="I159" s="67" t="n">
        <v>575</v>
      </c>
    </row>
    <row r="160" customFormat="false" ht="15" hidden="false" customHeight="true" outlineLevel="0" collapsed="false">
      <c r="B160" s="64" t="s">
        <v>332</v>
      </c>
      <c r="C160" s="65" t="s">
        <v>333</v>
      </c>
      <c r="D160" s="65" t="s">
        <v>465</v>
      </c>
      <c r="E160" s="65" t="n">
        <v>80</v>
      </c>
      <c r="F160" s="65" t="n">
        <v>84</v>
      </c>
      <c r="G160" s="50" t="n">
        <v>297.16</v>
      </c>
      <c r="H160" s="66" t="n">
        <f aca="false">1-EXP(-G160/100000)</f>
        <v>0.00296718916687899</v>
      </c>
      <c r="I160" s="67" t="n">
        <v>427</v>
      </c>
    </row>
    <row r="161" customFormat="false" ht="15" hidden="false" customHeight="true" outlineLevel="0" collapsed="false">
      <c r="B161" s="64" t="s">
        <v>332</v>
      </c>
      <c r="C161" s="65" t="s">
        <v>333</v>
      </c>
      <c r="D161" s="65" t="s">
        <v>465</v>
      </c>
      <c r="E161" s="65" t="n">
        <v>85</v>
      </c>
      <c r="F161" s="65" t="s">
        <v>464</v>
      </c>
      <c r="G161" s="50" t="n">
        <v>245.03</v>
      </c>
      <c r="H161" s="66" t="n">
        <f aca="false">1-EXP(-G161/100000)</f>
        <v>0.00244730046537511</v>
      </c>
      <c r="I161" s="67" t="n">
        <v>338</v>
      </c>
    </row>
    <row r="163" customFormat="false" ht="15" hidden="false" customHeight="true" outlineLevel="0" collapsed="false">
      <c r="B163" s="62" t="s">
        <v>468</v>
      </c>
    </row>
    <row r="164" customFormat="false" ht="15" hidden="false" customHeight="true" outlineLevel="0" collapsed="false">
      <c r="B164" s="64" t="s">
        <v>469</v>
      </c>
      <c r="C164" s="65" t="s">
        <v>470</v>
      </c>
      <c r="D164" s="65" t="s">
        <v>463</v>
      </c>
      <c r="E164" s="65" t="n">
        <v>30</v>
      </c>
      <c r="F164" s="65" t="n">
        <v>34</v>
      </c>
      <c r="G164" s="52" t="n">
        <f aca="false">G10-(G94+G108+G136)</f>
        <v>57.87</v>
      </c>
      <c r="H164" s="66" t="n">
        <f aca="false">1-EXP(-G164/100000)</f>
        <v>0.000578532585450819</v>
      </c>
      <c r="J164" s="63" t="s">
        <v>471</v>
      </c>
    </row>
    <row r="165" customFormat="false" ht="15" hidden="false" customHeight="true" outlineLevel="0" collapsed="false">
      <c r="B165" s="64" t="s">
        <v>469</v>
      </c>
      <c r="C165" s="65" t="s">
        <v>470</v>
      </c>
      <c r="D165" s="65" t="s">
        <v>463</v>
      </c>
      <c r="E165" s="65" t="n">
        <v>35</v>
      </c>
      <c r="F165" s="65" t="n">
        <v>39</v>
      </c>
      <c r="G165" s="52" t="n">
        <f aca="false">G11-(G95+G109+G137)</f>
        <v>76.03</v>
      </c>
      <c r="H165" s="66" t="n">
        <f aca="false">1-EXP(-G165/100000)</f>
        <v>0.000760011045190412</v>
      </c>
      <c r="J165" s="63" t="s">
        <v>471</v>
      </c>
    </row>
    <row r="166" customFormat="false" ht="15" hidden="false" customHeight="true" outlineLevel="0" collapsed="false">
      <c r="B166" s="64" t="s">
        <v>469</v>
      </c>
      <c r="C166" s="65" t="s">
        <v>470</v>
      </c>
      <c r="D166" s="65" t="s">
        <v>463</v>
      </c>
      <c r="E166" s="65" t="n">
        <v>40</v>
      </c>
      <c r="F166" s="65" t="n">
        <v>44</v>
      </c>
      <c r="G166" s="52" t="n">
        <f aca="false">G12-(G96+G110+G138)</f>
        <v>101.53</v>
      </c>
      <c r="H166" s="66" t="n">
        <f aca="false">1-EXP(-G166/100000)</f>
        <v>0.00101478475734507</v>
      </c>
      <c r="J166" s="63" t="s">
        <v>471</v>
      </c>
    </row>
    <row r="167" customFormat="false" ht="15" hidden="false" customHeight="true" outlineLevel="0" collapsed="false">
      <c r="B167" s="64" t="s">
        <v>469</v>
      </c>
      <c r="C167" s="65" t="s">
        <v>470</v>
      </c>
      <c r="D167" s="65" t="s">
        <v>463</v>
      </c>
      <c r="E167" s="65" t="n">
        <v>45</v>
      </c>
      <c r="F167" s="65" t="n">
        <v>49</v>
      </c>
      <c r="G167" s="52" t="n">
        <f aca="false">G13-(G97+G111+G139)</f>
        <v>141.75</v>
      </c>
      <c r="H167" s="66" t="n">
        <f aca="false">1-EXP(-G167/100000)</f>
        <v>0.00141649582140546</v>
      </c>
      <c r="J167" s="63" t="s">
        <v>471</v>
      </c>
    </row>
    <row r="168" customFormat="false" ht="15" hidden="false" customHeight="true" outlineLevel="0" collapsed="false">
      <c r="B168" s="64" t="s">
        <v>469</v>
      </c>
      <c r="C168" s="65" t="s">
        <v>470</v>
      </c>
      <c r="D168" s="65" t="s">
        <v>463</v>
      </c>
      <c r="E168" s="65" t="n">
        <v>50</v>
      </c>
      <c r="F168" s="65" t="n">
        <v>54</v>
      </c>
      <c r="G168" s="52" t="n">
        <f aca="false">G14-(G98+G112+G140)</f>
        <v>238.04</v>
      </c>
      <c r="H168" s="66" t="n">
        <f aca="false">1-EXP(-G168/100000)</f>
        <v>0.00237756909459463</v>
      </c>
      <c r="J168" s="63" t="s">
        <v>471</v>
      </c>
    </row>
    <row r="169" customFormat="false" ht="15" hidden="false" customHeight="true" outlineLevel="0" collapsed="false">
      <c r="B169" s="64" t="s">
        <v>469</v>
      </c>
      <c r="C169" s="65" t="s">
        <v>470</v>
      </c>
      <c r="D169" s="65" t="s">
        <v>463</v>
      </c>
      <c r="E169" s="65" t="n">
        <v>55</v>
      </c>
      <c r="F169" s="65" t="n">
        <v>59</v>
      </c>
      <c r="G169" s="52" t="n">
        <f aca="false">G15-(G99+G113+G141)</f>
        <v>354.89</v>
      </c>
      <c r="H169" s="66" t="n">
        <f aca="false">1-EXP(-G169/100000)</f>
        <v>0.00354261009734025</v>
      </c>
      <c r="J169" s="63" t="s">
        <v>471</v>
      </c>
    </row>
    <row r="170" customFormat="false" ht="15" hidden="false" customHeight="true" outlineLevel="0" collapsed="false">
      <c r="B170" s="64" t="s">
        <v>469</v>
      </c>
      <c r="C170" s="65" t="s">
        <v>470</v>
      </c>
      <c r="D170" s="65" t="s">
        <v>463</v>
      </c>
      <c r="E170" s="65" t="n">
        <v>60</v>
      </c>
      <c r="F170" s="65" t="n">
        <v>64</v>
      </c>
      <c r="G170" s="52" t="n">
        <f aca="false">G16-(G100+G114+G142)</f>
        <v>509.5</v>
      </c>
      <c r="H170" s="66" t="n">
        <f aca="false">1-EXP(-G170/100000)</f>
        <v>0.00508204250298938</v>
      </c>
      <c r="J170" s="63" t="s">
        <v>471</v>
      </c>
    </row>
    <row r="171" customFormat="false" ht="15" hidden="false" customHeight="true" outlineLevel="0" collapsed="false">
      <c r="B171" s="64" t="s">
        <v>469</v>
      </c>
      <c r="C171" s="65" t="s">
        <v>470</v>
      </c>
      <c r="D171" s="65" t="s">
        <v>463</v>
      </c>
      <c r="E171" s="65" t="n">
        <v>65</v>
      </c>
      <c r="F171" s="65" t="n">
        <v>69</v>
      </c>
      <c r="G171" s="52" t="n">
        <f aca="false">G17-(G101+G115+G143)</f>
        <v>713.62</v>
      </c>
      <c r="H171" s="66" t="n">
        <f aca="false">1-EXP(-G171/100000)</f>
        <v>0.00711079778579038</v>
      </c>
      <c r="J171" s="63" t="s">
        <v>471</v>
      </c>
    </row>
    <row r="172" customFormat="false" ht="15" hidden="false" customHeight="true" outlineLevel="0" collapsed="false">
      <c r="B172" s="64" t="s">
        <v>469</v>
      </c>
      <c r="C172" s="65" t="s">
        <v>470</v>
      </c>
      <c r="D172" s="65" t="s">
        <v>463</v>
      </c>
      <c r="E172" s="65" t="n">
        <v>70</v>
      </c>
      <c r="F172" s="65" t="n">
        <v>74</v>
      </c>
      <c r="G172" s="52" t="n">
        <f aca="false">G18-(G102+G116+G144)</f>
        <v>970.35</v>
      </c>
      <c r="H172" s="66" t="n">
        <f aca="false">1-EXP(-G172/100000)</f>
        <v>0.00965657295206968</v>
      </c>
      <c r="J172" s="63" t="s">
        <v>471</v>
      </c>
    </row>
    <row r="173" customFormat="false" ht="15" hidden="false" customHeight="true" outlineLevel="0" collapsed="false">
      <c r="B173" s="64" t="s">
        <v>469</v>
      </c>
      <c r="C173" s="65" t="s">
        <v>470</v>
      </c>
      <c r="D173" s="65" t="s">
        <v>463</v>
      </c>
      <c r="E173" s="65" t="n">
        <v>75</v>
      </c>
      <c r="F173" s="65" t="n">
        <v>79</v>
      </c>
      <c r="G173" s="52" t="n">
        <f aca="false">G19-(G103+G117+G145)</f>
        <v>1251.52</v>
      </c>
      <c r="H173" s="66" t="n">
        <f aca="false">1-EXP(-G173/100000)</f>
        <v>0.0124372105746017</v>
      </c>
      <c r="J173" s="63" t="s">
        <v>471</v>
      </c>
    </row>
    <row r="174" customFormat="false" ht="15" hidden="false" customHeight="true" outlineLevel="0" collapsed="false">
      <c r="B174" s="64" t="s">
        <v>469</v>
      </c>
      <c r="C174" s="65" t="s">
        <v>470</v>
      </c>
      <c r="D174" s="65" t="s">
        <v>463</v>
      </c>
      <c r="E174" s="65" t="n">
        <v>80</v>
      </c>
      <c r="F174" s="65" t="n">
        <v>84</v>
      </c>
      <c r="G174" s="52" t="n">
        <f aca="false">G20-(G104+G118+G146)</f>
        <v>1570.34</v>
      </c>
      <c r="H174" s="66" t="n">
        <f aca="false">1-EXP(-G174/100000)</f>
        <v>0.0155807444896987</v>
      </c>
      <c r="J174" s="63" t="s">
        <v>471</v>
      </c>
    </row>
    <row r="175" customFormat="false" ht="15" hidden="false" customHeight="true" outlineLevel="0" collapsed="false">
      <c r="B175" s="64" t="s">
        <v>469</v>
      </c>
      <c r="C175" s="65" t="s">
        <v>470</v>
      </c>
      <c r="D175" s="65" t="s">
        <v>463</v>
      </c>
      <c r="E175" s="65" t="n">
        <v>85</v>
      </c>
      <c r="F175" s="65" t="s">
        <v>464</v>
      </c>
      <c r="G175" s="52" t="n">
        <f aca="false">G21-(G105+G119+G147)</f>
        <v>1792.57</v>
      </c>
      <c r="H175" s="66" t="n">
        <f aca="false">1-EXP(-G175/100000)</f>
        <v>0.0177659903659229</v>
      </c>
      <c r="J175" s="63" t="s">
        <v>471</v>
      </c>
    </row>
    <row r="177" customFormat="false" ht="15" hidden="false" customHeight="true" outlineLevel="0" collapsed="false">
      <c r="B177" s="62" t="s">
        <v>472</v>
      </c>
    </row>
    <row r="178" customFormat="false" ht="15" hidden="false" customHeight="true" outlineLevel="0" collapsed="false">
      <c r="B178" s="64" t="s">
        <v>469</v>
      </c>
      <c r="C178" s="65" t="s">
        <v>470</v>
      </c>
      <c r="D178" s="65" t="s">
        <v>465</v>
      </c>
      <c r="E178" s="65" t="n">
        <v>30</v>
      </c>
      <c r="F178" s="65" t="n">
        <v>34</v>
      </c>
      <c r="G178" s="52" t="n">
        <f aca="false">G24-(G38+G52+G66+G80+G122+G150)</f>
        <v>49.45</v>
      </c>
      <c r="H178" s="66" t="n">
        <f aca="false">1-EXP(-G178/100000)</f>
        <v>0.000494377755025921</v>
      </c>
      <c r="J178" s="63" t="s">
        <v>471</v>
      </c>
    </row>
    <row r="179" customFormat="false" ht="15" hidden="false" customHeight="true" outlineLevel="0" collapsed="false">
      <c r="B179" s="64" t="s">
        <v>469</v>
      </c>
      <c r="C179" s="65" t="s">
        <v>470</v>
      </c>
      <c r="D179" s="65" t="s">
        <v>465</v>
      </c>
      <c r="E179" s="65" t="n">
        <v>35</v>
      </c>
      <c r="F179" s="65" t="n">
        <v>39</v>
      </c>
      <c r="G179" s="52" t="n">
        <f aca="false">G25-(G39+G53+G67+G81+G123+G151)</f>
        <v>58.57</v>
      </c>
      <c r="H179" s="66" t="n">
        <f aca="false">1-EXP(-G179/100000)</f>
        <v>0.000585528511236944</v>
      </c>
      <c r="J179" s="63" t="s">
        <v>471</v>
      </c>
    </row>
    <row r="180" customFormat="false" ht="15" hidden="false" customHeight="true" outlineLevel="0" collapsed="false">
      <c r="B180" s="64" t="s">
        <v>469</v>
      </c>
      <c r="C180" s="65" t="s">
        <v>470</v>
      </c>
      <c r="D180" s="65" t="s">
        <v>465</v>
      </c>
      <c r="E180" s="65" t="n">
        <v>40</v>
      </c>
      <c r="F180" s="65" t="n">
        <v>44</v>
      </c>
      <c r="G180" s="52" t="n">
        <f aca="false">G26-(G40+G54+G68+G82+G124+G152)</f>
        <v>77.0700000000001</v>
      </c>
      <c r="H180" s="66" t="n">
        <f aca="false">1-EXP(-G180/100000)</f>
        <v>0.000770403087036797</v>
      </c>
      <c r="J180" s="63" t="s">
        <v>471</v>
      </c>
    </row>
    <row r="181" customFormat="false" ht="15" hidden="false" customHeight="true" outlineLevel="0" collapsed="false">
      <c r="B181" s="64" t="s">
        <v>469</v>
      </c>
      <c r="C181" s="65" t="s">
        <v>470</v>
      </c>
      <c r="D181" s="65" t="s">
        <v>465</v>
      </c>
      <c r="E181" s="65" t="n">
        <v>45</v>
      </c>
      <c r="F181" s="65" t="n">
        <v>49</v>
      </c>
      <c r="G181" s="52" t="n">
        <f aca="false">G27-(G41+G55+G69+G83+G125+G153)</f>
        <v>108.23</v>
      </c>
      <c r="H181" s="66" t="n">
        <f aca="false">1-EXP(-G181/100000)</f>
        <v>0.00108171452459405</v>
      </c>
      <c r="J181" s="63" t="s">
        <v>471</v>
      </c>
    </row>
    <row r="182" customFormat="false" ht="15" hidden="false" customHeight="true" outlineLevel="0" collapsed="false">
      <c r="B182" s="64" t="s">
        <v>469</v>
      </c>
      <c r="C182" s="65" t="s">
        <v>470</v>
      </c>
      <c r="D182" s="65" t="s">
        <v>465</v>
      </c>
      <c r="E182" s="65" t="n">
        <v>50</v>
      </c>
      <c r="F182" s="65" t="n">
        <v>54</v>
      </c>
      <c r="G182" s="52" t="n">
        <f aca="false">G28-(G42+G56+G70+G84+G126+G154)</f>
        <v>157.2</v>
      </c>
      <c r="H182" s="66" t="n">
        <f aca="false">1-EXP(-G182/100000)</f>
        <v>0.00157076505519582</v>
      </c>
      <c r="J182" s="63" t="s">
        <v>471</v>
      </c>
    </row>
    <row r="183" customFormat="false" ht="15" hidden="false" customHeight="true" outlineLevel="0" collapsed="false">
      <c r="B183" s="64" t="s">
        <v>469</v>
      </c>
      <c r="C183" s="65" t="s">
        <v>470</v>
      </c>
      <c r="D183" s="65" t="s">
        <v>465</v>
      </c>
      <c r="E183" s="65" t="n">
        <v>55</v>
      </c>
      <c r="F183" s="65" t="n">
        <v>59</v>
      </c>
      <c r="G183" s="52" t="n">
        <f aca="false">G29-(G43+G57+G71+G85+G127+G155)</f>
        <v>216.7</v>
      </c>
      <c r="H183" s="66" t="n">
        <f aca="false">1-EXP(-G183/100000)</f>
        <v>0.00216465375058017</v>
      </c>
      <c r="J183" s="63" t="s">
        <v>471</v>
      </c>
    </row>
    <row r="184" customFormat="false" ht="15" hidden="false" customHeight="true" outlineLevel="0" collapsed="false">
      <c r="B184" s="64" t="s">
        <v>469</v>
      </c>
      <c r="C184" s="65" t="s">
        <v>470</v>
      </c>
      <c r="D184" s="65" t="s">
        <v>465</v>
      </c>
      <c r="E184" s="65" t="n">
        <v>60</v>
      </c>
      <c r="F184" s="65" t="n">
        <v>64</v>
      </c>
      <c r="G184" s="52" t="n">
        <f aca="false">G30-(G44+G58+G72+G86+G128+G156)</f>
        <v>319.54</v>
      </c>
      <c r="H184" s="66" t="n">
        <f aca="false">1-EXP(-G184/100000)</f>
        <v>0.0031903001428939</v>
      </c>
      <c r="J184" s="63" t="s">
        <v>471</v>
      </c>
    </row>
    <row r="185" customFormat="false" ht="15" hidden="false" customHeight="true" outlineLevel="0" collapsed="false">
      <c r="B185" s="64" t="s">
        <v>469</v>
      </c>
      <c r="C185" s="65" t="s">
        <v>470</v>
      </c>
      <c r="D185" s="65" t="s">
        <v>465</v>
      </c>
      <c r="E185" s="65" t="n">
        <v>65</v>
      </c>
      <c r="F185" s="65" t="n">
        <v>69</v>
      </c>
      <c r="G185" s="52" t="n">
        <f aca="false">G31-(G45+G59+G73+G87+G129+G157)</f>
        <v>397.88</v>
      </c>
      <c r="H185" s="66" t="n">
        <f aca="false">1-EXP(-G185/100000)</f>
        <v>0.0039708950628099</v>
      </c>
      <c r="J185" s="63" t="s">
        <v>471</v>
      </c>
    </row>
    <row r="186" customFormat="false" ht="15" hidden="false" customHeight="true" outlineLevel="0" collapsed="false">
      <c r="B186" s="64" t="s">
        <v>469</v>
      </c>
      <c r="C186" s="65" t="s">
        <v>470</v>
      </c>
      <c r="D186" s="65" t="s">
        <v>465</v>
      </c>
      <c r="E186" s="65" t="n">
        <v>70</v>
      </c>
      <c r="F186" s="65" t="n">
        <v>74</v>
      </c>
      <c r="G186" s="52" t="n">
        <f aca="false">G32-(G46+G60+G74+G88+G130+G158)</f>
        <v>570.84</v>
      </c>
      <c r="H186" s="66" t="n">
        <f aca="false">1-EXP(-G186/100000)</f>
        <v>0.00569213804268642</v>
      </c>
      <c r="J186" s="63" t="s">
        <v>471</v>
      </c>
    </row>
    <row r="187" customFormat="false" ht="15" hidden="false" customHeight="true" outlineLevel="0" collapsed="false">
      <c r="B187" s="64" t="s">
        <v>469</v>
      </c>
      <c r="C187" s="65" t="s">
        <v>470</v>
      </c>
      <c r="D187" s="65" t="s">
        <v>465</v>
      </c>
      <c r="E187" s="65" t="n">
        <v>75</v>
      </c>
      <c r="F187" s="65" t="n">
        <v>79</v>
      </c>
      <c r="G187" s="52" t="n">
        <f aca="false">G33-(G47+G61+G75+G89+G131+G159)</f>
        <v>735.17</v>
      </c>
      <c r="H187" s="66" t="n">
        <f aca="false">1-EXP(-G187/100000)</f>
        <v>0.00732474235551217</v>
      </c>
      <c r="J187" s="63" t="s">
        <v>471</v>
      </c>
    </row>
    <row r="188" customFormat="false" ht="15" hidden="false" customHeight="true" outlineLevel="0" collapsed="false">
      <c r="B188" s="64" t="s">
        <v>469</v>
      </c>
      <c r="C188" s="65" t="s">
        <v>470</v>
      </c>
      <c r="D188" s="65" t="s">
        <v>465</v>
      </c>
      <c r="E188" s="65" t="n">
        <v>80</v>
      </c>
      <c r="F188" s="65" t="n">
        <v>84</v>
      </c>
      <c r="G188" s="52" t="n">
        <f aca="false">G34-(G48+G62+G76+G90+G132+G160)</f>
        <v>926.96</v>
      </c>
      <c r="H188" s="66" t="n">
        <f aca="false">1-EXP(-G188/100000)</f>
        <v>0.00922676970000125</v>
      </c>
      <c r="J188" s="63" t="s">
        <v>471</v>
      </c>
    </row>
    <row r="189" customFormat="false" ht="15" hidden="false" customHeight="true" outlineLevel="0" collapsed="false">
      <c r="B189" s="64" t="s">
        <v>469</v>
      </c>
      <c r="C189" s="65" t="s">
        <v>470</v>
      </c>
      <c r="D189" s="65" t="s">
        <v>465</v>
      </c>
      <c r="E189" s="65" t="n">
        <v>85</v>
      </c>
      <c r="F189" s="65" t="s">
        <v>464</v>
      </c>
      <c r="G189" s="52" t="n">
        <f aca="false">G35-(G49+G63+G77+G91+G133+G161)</f>
        <v>1064.92</v>
      </c>
      <c r="H189" s="66" t="n">
        <f aca="false">1-EXP(-G189/100000)</f>
        <v>0.0105926980145246</v>
      </c>
      <c r="J189" s="63" t="s">
        <v>471</v>
      </c>
    </row>
    <row r="191" customFormat="false" ht="15" hidden="false" customHeight="true" outlineLevel="0" collapsed="false">
      <c r="B191" s="29" t="s">
        <v>473</v>
      </c>
    </row>
    <row r="192" customFormat="false" ht="15" hidden="false" customHeight="true" outlineLevel="0" collapsed="false">
      <c r="B192" s="27" t="s">
        <v>474</v>
      </c>
      <c r="G192" s="49" t="str">
        <f aca="false">IF(((G164&lt;0)+(G165&lt;0)+(G166&lt;0)+(G167&lt;0)+(G168&lt;0)+(G169&lt;0)+(G170&lt;0)+(G171&lt;0)+(G172&lt;0)+(G173&lt;0)+(G174&lt;0)+(G175&lt;0)+(G178&lt;0)+(G179&lt;0)+(G180&lt;0)+(G181&lt;0)+(G182&lt;0)+(G183&lt;0)+(G184&lt;0)+(G185&lt;0)+(G186&lt;0)+(G187&lt;0)+(G188&lt;0)+(G189&lt;0))=0,"OK","CHECK")</f>
        <v>OK</v>
      </c>
    </row>
    <row r="193" customFormat="false" ht="15" hidden="false" customHeight="true" outlineLevel="0" collapsed="false">
      <c r="B193" s="27" t="s">
        <v>475</v>
      </c>
      <c r="G193" s="42" t="n">
        <f aca="false">SUM(I38:I49)/3</f>
        <v>3469</v>
      </c>
    </row>
    <row r="194" customFormat="false" ht="15" hidden="false" customHeight="true" outlineLevel="0" collapsed="false">
      <c r="B194" s="27" t="s">
        <v>476</v>
      </c>
      <c r="G194" s="42" t="n">
        <f aca="false">SUM(I94:I105)/3</f>
        <v>3936.66666666667</v>
      </c>
    </row>
    <row r="195" customFormat="false" ht="15" hidden="false" customHeight="true" outlineLevel="0" collapsed="false">
      <c r="B195" s="27" t="s">
        <v>477</v>
      </c>
      <c r="G195" s="42" t="n">
        <f aca="false">SUM(I80:I91)/3</f>
        <v>546.666666666667</v>
      </c>
    </row>
    <row r="196" customFormat="false" ht="15" hidden="false" customHeight="true" outlineLevel="0" collapsed="false">
      <c r="B196" s="18" t="s">
        <v>9</v>
      </c>
      <c r="G196" s="49" t="str">
        <f aca="false">IF(G192="OK","Q_INPUTS CONSISTENT","CHECK")</f>
        <v>Q_INPUTS CONSISTENT</v>
      </c>
    </row>
    <row r="198" customFormat="false" ht="15" hidden="false" customHeight="true" outlineLevel="0" collapsed="false">
      <c r="B198" s="18" t="s">
        <v>478</v>
      </c>
      <c r="C198" s="61" t="s">
        <v>479</v>
      </c>
    </row>
    <row r="201" customFormat="false" ht="15" hidden="false" customHeight="true" outlineLevel="0" collapsed="false">
      <c r="B201" s="29" t="s">
        <v>480</v>
      </c>
      <c r="J201" s="63" t="s">
        <v>481</v>
      </c>
    </row>
    <row r="202" customFormat="false" ht="15" hidden="false" customHeight="true" outlineLevel="0" collapsed="false">
      <c r="B202" s="51" t="s">
        <v>453</v>
      </c>
      <c r="C202" s="51" t="s">
        <v>307</v>
      </c>
      <c r="D202" s="51" t="s">
        <v>454</v>
      </c>
      <c r="E202" s="51" t="s">
        <v>455</v>
      </c>
      <c r="F202" s="51" t="s">
        <v>456</v>
      </c>
      <c r="G202" s="51" t="s">
        <v>457</v>
      </c>
      <c r="H202" s="51" t="s">
        <v>458</v>
      </c>
      <c r="I202" s="51" t="s">
        <v>459</v>
      </c>
      <c r="J202" s="51" t="s">
        <v>460</v>
      </c>
    </row>
    <row r="203" customFormat="false" ht="15" hidden="false" customHeight="true" outlineLevel="0" collapsed="false">
      <c r="B203" s="64" t="s">
        <v>482</v>
      </c>
      <c r="C203" s="65" t="s">
        <v>483</v>
      </c>
      <c r="D203" s="65" t="s">
        <v>465</v>
      </c>
      <c r="E203" s="65" t="n">
        <v>30</v>
      </c>
      <c r="F203" s="65" t="n">
        <v>34</v>
      </c>
      <c r="G203" s="50" t="n">
        <v>1.51</v>
      </c>
      <c r="H203" s="66" t="n">
        <f aca="false">1-EXP(-G203/100000)</f>
        <v>1.50998859955731E-005</v>
      </c>
      <c r="I203" s="67" t="n">
        <v>8</v>
      </c>
    </row>
    <row r="204" customFormat="false" ht="15" hidden="false" customHeight="true" outlineLevel="0" collapsed="false">
      <c r="B204" s="64" t="s">
        <v>482</v>
      </c>
      <c r="C204" s="65" t="s">
        <v>483</v>
      </c>
      <c r="D204" s="65" t="s">
        <v>465</v>
      </c>
      <c r="E204" s="65" t="n">
        <v>35</v>
      </c>
      <c r="F204" s="65" t="n">
        <v>39</v>
      </c>
      <c r="G204" s="50" t="n">
        <v>6.49</v>
      </c>
      <c r="H204" s="66" t="n">
        <f aca="false">1-EXP(-G204/100000)</f>
        <v>6.48978940405165E-005</v>
      </c>
      <c r="I204" s="67" t="n">
        <v>40</v>
      </c>
    </row>
    <row r="205" customFormat="false" ht="15" hidden="false" customHeight="true" outlineLevel="0" collapsed="false">
      <c r="B205" s="64" t="s">
        <v>482</v>
      </c>
      <c r="C205" s="65" t="s">
        <v>483</v>
      </c>
      <c r="D205" s="65" t="s">
        <v>465</v>
      </c>
      <c r="E205" s="65" t="n">
        <v>40</v>
      </c>
      <c r="F205" s="65" t="n">
        <v>44</v>
      </c>
      <c r="G205" s="50" t="n">
        <v>15.2</v>
      </c>
      <c r="H205" s="66" t="n">
        <f aca="false">1-EXP(-G205/100000)</f>
        <v>0.000151988448585327</v>
      </c>
      <c r="I205" s="67" t="n">
        <v>86</v>
      </c>
    </row>
    <row r="206" customFormat="false" ht="15" hidden="false" customHeight="true" outlineLevel="0" collapsed="false">
      <c r="B206" s="64" t="s">
        <v>482</v>
      </c>
      <c r="C206" s="65" t="s">
        <v>483</v>
      </c>
      <c r="D206" s="65" t="s">
        <v>465</v>
      </c>
      <c r="E206" s="65" t="n">
        <v>45</v>
      </c>
      <c r="F206" s="65" t="n">
        <v>49</v>
      </c>
      <c r="G206" s="50" t="n">
        <v>25.51</v>
      </c>
      <c r="H206" s="66" t="n">
        <f aca="false">1-EXP(-G206/100000)</f>
        <v>0.000255067464761671</v>
      </c>
      <c r="I206" s="67" t="n">
        <v>132</v>
      </c>
    </row>
    <row r="207" customFormat="false" ht="15" hidden="false" customHeight="true" outlineLevel="0" collapsed="false">
      <c r="B207" s="64" t="s">
        <v>482</v>
      </c>
      <c r="C207" s="65" t="s">
        <v>483</v>
      </c>
      <c r="D207" s="65" t="s">
        <v>465</v>
      </c>
      <c r="E207" s="65" t="n">
        <v>50</v>
      </c>
      <c r="F207" s="65" t="n">
        <v>54</v>
      </c>
      <c r="G207" s="50" t="n">
        <v>59.32</v>
      </c>
      <c r="H207" s="66" t="n">
        <f aca="false">1-EXP(-G207/100000)</f>
        <v>0.000593024091664618</v>
      </c>
      <c r="I207" s="67" t="n">
        <v>277</v>
      </c>
    </row>
    <row r="208" customFormat="false" ht="15" hidden="false" customHeight="true" outlineLevel="0" collapsed="false">
      <c r="B208" s="64" t="s">
        <v>482</v>
      </c>
      <c r="C208" s="65" t="s">
        <v>483</v>
      </c>
      <c r="D208" s="65" t="s">
        <v>465</v>
      </c>
      <c r="E208" s="65" t="n">
        <v>55</v>
      </c>
      <c r="F208" s="65" t="n">
        <v>59</v>
      </c>
      <c r="G208" s="50" t="n">
        <v>39.78</v>
      </c>
      <c r="H208" s="66" t="n">
        <f aca="false">1-EXP(-G208/100000)</f>
        <v>0.000397720888070552</v>
      </c>
      <c r="I208" s="67" t="n">
        <v>170</v>
      </c>
    </row>
    <row r="209" customFormat="false" ht="15" hidden="false" customHeight="true" outlineLevel="0" collapsed="false">
      <c r="B209" s="64" t="s">
        <v>482</v>
      </c>
      <c r="C209" s="65" t="s">
        <v>483</v>
      </c>
      <c r="D209" s="65" t="s">
        <v>465</v>
      </c>
      <c r="E209" s="65" t="n">
        <v>60</v>
      </c>
      <c r="F209" s="65" t="n">
        <v>64</v>
      </c>
      <c r="G209" s="50" t="n">
        <v>47.77</v>
      </c>
      <c r="H209" s="66" t="n">
        <f aca="false">1-EXP(-G209/100000)</f>
        <v>0.000477585919521184</v>
      </c>
      <c r="I209" s="67" t="n">
        <v>180</v>
      </c>
    </row>
    <row r="210" customFormat="false" ht="15" hidden="false" customHeight="true" outlineLevel="0" collapsed="false">
      <c r="B210" s="64" t="s">
        <v>482</v>
      </c>
      <c r="C210" s="65" t="s">
        <v>483</v>
      </c>
      <c r="D210" s="65" t="s">
        <v>465</v>
      </c>
      <c r="E210" s="65" t="n">
        <v>65</v>
      </c>
      <c r="F210" s="65" t="n">
        <v>69</v>
      </c>
      <c r="G210" s="50" t="n">
        <v>38.88</v>
      </c>
      <c r="H210" s="66" t="n">
        <f aca="false">1-EXP(-G210/100000)</f>
        <v>0.000388724427074605</v>
      </c>
      <c r="I210" s="67" t="n">
        <v>128</v>
      </c>
    </row>
    <row r="211" customFormat="false" ht="15" hidden="false" customHeight="true" outlineLevel="0" collapsed="false">
      <c r="B211" s="64" t="s">
        <v>482</v>
      </c>
      <c r="C211" s="65" t="s">
        <v>483</v>
      </c>
      <c r="D211" s="65" t="s">
        <v>465</v>
      </c>
      <c r="E211" s="65" t="n">
        <v>70</v>
      </c>
      <c r="F211" s="65" t="n">
        <v>74</v>
      </c>
      <c r="G211" s="50" t="n">
        <v>21.21</v>
      </c>
      <c r="H211" s="66" t="n">
        <f aca="false">1-EXP(-G211/100000)</f>
        <v>0.000212077508385145</v>
      </c>
      <c r="I211" s="67" t="n">
        <v>58</v>
      </c>
    </row>
    <row r="212" customFormat="false" ht="15" hidden="false" customHeight="true" outlineLevel="0" collapsed="false">
      <c r="B212" s="64" t="s">
        <v>482</v>
      </c>
      <c r="C212" s="65" t="s">
        <v>483</v>
      </c>
      <c r="D212" s="65" t="s">
        <v>465</v>
      </c>
      <c r="E212" s="65" t="n">
        <v>75</v>
      </c>
      <c r="F212" s="65" t="n">
        <v>79</v>
      </c>
      <c r="G212" s="50" t="n">
        <v>16.41</v>
      </c>
      <c r="H212" s="66" t="n">
        <f aca="false">1-EXP(-G212/100000)</f>
        <v>0.000164086536331487</v>
      </c>
      <c r="I212" s="67" t="n">
        <v>32</v>
      </c>
    </row>
    <row r="213" customFormat="false" ht="15" hidden="false" customHeight="true" outlineLevel="0" collapsed="false">
      <c r="B213" s="64" t="s">
        <v>482</v>
      </c>
      <c r="C213" s="65" t="s">
        <v>483</v>
      </c>
      <c r="D213" s="65" t="s">
        <v>465</v>
      </c>
      <c r="E213" s="65" t="n">
        <v>80</v>
      </c>
      <c r="F213" s="65" t="n">
        <v>84</v>
      </c>
      <c r="G213" s="50" t="n">
        <v>7.66</v>
      </c>
      <c r="H213" s="66" t="n">
        <f aca="false">1-EXP(-G213/100000)</f>
        <v>7.65970662949256E-005</v>
      </c>
      <c r="I213" s="67" t="n">
        <v>11</v>
      </c>
    </row>
    <row r="214" customFormat="false" ht="15" hidden="false" customHeight="true" outlineLevel="0" collapsed="false">
      <c r="B214" s="64" t="s">
        <v>482</v>
      </c>
      <c r="C214" s="65" t="s">
        <v>483</v>
      </c>
      <c r="D214" s="65" t="s">
        <v>465</v>
      </c>
      <c r="E214" s="65" t="n">
        <v>85</v>
      </c>
      <c r="F214" s="65" t="s">
        <v>464</v>
      </c>
      <c r="G214" s="50" t="n">
        <v>6.52</v>
      </c>
      <c r="H214" s="66" t="n">
        <f aca="false">1-EXP(-G214/100000)</f>
        <v>6.51978745261905E-005</v>
      </c>
      <c r="I214" s="67" t="n">
        <v>9</v>
      </c>
    </row>
    <row r="216" customFormat="false" ht="15" hidden="false" customHeight="true" outlineLevel="0" collapsed="false">
      <c r="B216" s="29" t="s">
        <v>484</v>
      </c>
    </row>
    <row r="217" customFormat="false" ht="15" hidden="false" customHeight="true" outlineLevel="0" collapsed="false">
      <c r="B217" s="61" t="s">
        <v>485</v>
      </c>
    </row>
    <row r="218" customFormat="false" ht="15" hidden="false" customHeight="true" outlineLevel="0" collapsed="false">
      <c r="B218" s="61" t="s">
        <v>486</v>
      </c>
    </row>
    <row r="219" customFormat="false" ht="15" hidden="false" customHeight="true" outlineLevel="0" collapsed="false">
      <c r="B219" s="61" t="s">
        <v>487</v>
      </c>
    </row>
    <row r="220" customFormat="false" ht="15" hidden="false" customHeight="true" outlineLevel="0" collapsed="false">
      <c r="B220" s="61" t="s">
        <v>488</v>
      </c>
    </row>
    <row r="221" customFormat="false" ht="15" hidden="false" customHeight="true" outlineLevel="0" collapsed="false">
      <c r="B221" s="61" t="s">
        <v>489</v>
      </c>
    </row>
    <row r="222" customFormat="false" ht="15" hidden="false" customHeight="true" outlineLevel="0" collapsed="false">
      <c r="B222" s="61" t="s">
        <v>490</v>
      </c>
    </row>
    <row r="225" customFormat="false" ht="15" hidden="false" customHeight="true" outlineLevel="0" collapsed="false">
      <c r="B225" s="29" t="s">
        <v>491</v>
      </c>
    </row>
    <row r="226" customFormat="false" ht="15" hidden="false" customHeight="true" outlineLevel="0" collapsed="false">
      <c r="B226" s="51" t="s">
        <v>306</v>
      </c>
      <c r="C226" s="51" t="s">
        <v>492</v>
      </c>
      <c r="D226" s="51" t="s">
        <v>454</v>
      </c>
      <c r="E226" s="51" t="s">
        <v>455</v>
      </c>
      <c r="F226" s="51" t="s">
        <v>456</v>
      </c>
      <c r="G226" s="51" t="s">
        <v>457</v>
      </c>
      <c r="H226" s="51" t="s">
        <v>458</v>
      </c>
      <c r="I226" s="51" t="s">
        <v>459</v>
      </c>
      <c r="J226" s="51" t="s">
        <v>493</v>
      </c>
    </row>
    <row r="227" customFormat="false" ht="15" hidden="false" customHeight="true" outlineLevel="0" collapsed="false">
      <c r="B227" s="64" t="s">
        <v>494</v>
      </c>
      <c r="C227" s="65" t="s">
        <v>495</v>
      </c>
      <c r="D227" s="65" t="s">
        <v>463</v>
      </c>
      <c r="E227" s="65" t="n">
        <v>15</v>
      </c>
      <c r="F227" s="65" t="n">
        <v>44</v>
      </c>
      <c r="G227" s="50" t="n">
        <v>25.56</v>
      </c>
      <c r="H227" s="66" t="n">
        <f aca="false">1-EXP(-G227/100000)</f>
        <v>0.000255567337102969</v>
      </c>
      <c r="I227" s="67" t="n">
        <v>759</v>
      </c>
      <c r="J227" s="63" t="s">
        <v>496</v>
      </c>
    </row>
    <row r="228" customFormat="false" ht="15" hidden="false" customHeight="true" outlineLevel="0" collapsed="false">
      <c r="B228" s="64" t="s">
        <v>494</v>
      </c>
      <c r="C228" s="65" t="s">
        <v>495</v>
      </c>
      <c r="D228" s="65" t="s">
        <v>463</v>
      </c>
      <c r="E228" s="65" t="n">
        <v>45</v>
      </c>
      <c r="F228" s="65" t="n">
        <v>64</v>
      </c>
      <c r="G228" s="50" t="n">
        <v>319.29</v>
      </c>
      <c r="H228" s="66" t="n">
        <f aca="false">1-EXP(-G228/100000)</f>
        <v>0.00318780811552932</v>
      </c>
      <c r="I228" s="67" t="n">
        <v>5607</v>
      </c>
      <c r="J228" s="63" t="s">
        <v>496</v>
      </c>
    </row>
    <row r="229" customFormat="false" ht="15" hidden="false" customHeight="true" outlineLevel="0" collapsed="false">
      <c r="B229" s="64" t="s">
        <v>494</v>
      </c>
      <c r="C229" s="65" t="s">
        <v>495</v>
      </c>
      <c r="D229" s="65" t="s">
        <v>463</v>
      </c>
      <c r="E229" s="65" t="n">
        <v>65</v>
      </c>
      <c r="F229" s="65" t="s">
        <v>464</v>
      </c>
      <c r="G229" s="50" t="n">
        <v>744.43</v>
      </c>
      <c r="H229" s="66" t="n">
        <f aca="false">1-EXP(-G229/100000)</f>
        <v>0.00741665982852535</v>
      </c>
      <c r="I229" s="67" t="n">
        <v>7282</v>
      </c>
      <c r="J229" s="63" t="s">
        <v>496</v>
      </c>
    </row>
    <row r="230" customFormat="false" ht="15" hidden="false" customHeight="true" outlineLevel="0" collapsed="false">
      <c r="B230" s="64" t="s">
        <v>494</v>
      </c>
      <c r="C230" s="65" t="s">
        <v>495</v>
      </c>
      <c r="D230" s="65" t="s">
        <v>465</v>
      </c>
      <c r="E230" s="65" t="n">
        <v>15</v>
      </c>
      <c r="F230" s="65" t="n">
        <v>44</v>
      </c>
      <c r="G230" s="50" t="n">
        <v>5.81</v>
      </c>
      <c r="H230" s="66" t="n">
        <f aca="false">1-EXP(-G230/100000)</f>
        <v>5.80983122276946E-005</v>
      </c>
      <c r="I230" s="67" t="n">
        <v>175</v>
      </c>
      <c r="J230" s="63" t="s">
        <v>496</v>
      </c>
    </row>
    <row r="231" customFormat="false" ht="15" hidden="false" customHeight="true" outlineLevel="0" collapsed="false">
      <c r="B231" s="64" t="s">
        <v>494</v>
      </c>
      <c r="C231" s="65" t="s">
        <v>495</v>
      </c>
      <c r="D231" s="65" t="s">
        <v>465</v>
      </c>
      <c r="E231" s="65" t="n">
        <v>45</v>
      </c>
      <c r="F231" s="65" t="n">
        <v>64</v>
      </c>
      <c r="G231" s="50" t="n">
        <v>79.14</v>
      </c>
      <c r="H231" s="66" t="n">
        <f aca="false">1-EXP(-G231/100000)</f>
        <v>0.00079108692561447</v>
      </c>
      <c r="I231" s="67" t="n">
        <v>1428</v>
      </c>
      <c r="J231" s="63" t="s">
        <v>496</v>
      </c>
    </row>
    <row r="232" customFormat="false" ht="15" hidden="false" customHeight="true" outlineLevel="0" collapsed="false">
      <c r="B232" s="64" t="s">
        <v>494</v>
      </c>
      <c r="C232" s="65" t="s">
        <v>495</v>
      </c>
      <c r="D232" s="65" t="s">
        <v>465</v>
      </c>
      <c r="E232" s="65" t="n">
        <v>65</v>
      </c>
      <c r="F232" s="65" t="s">
        <v>464</v>
      </c>
      <c r="G232" s="50" t="n">
        <v>364.98</v>
      </c>
      <c r="H232" s="66" t="n">
        <f aca="false">1-EXP(-G232/100000)</f>
        <v>0.00364314757578033</v>
      </c>
      <c r="I232" s="67" t="n">
        <v>4017</v>
      </c>
      <c r="J232" s="63" t="s">
        <v>496</v>
      </c>
    </row>
    <row r="233" customFormat="false" ht="15" hidden="false" customHeight="true" outlineLevel="0" collapsed="false">
      <c r="B233" s="64" t="s">
        <v>497</v>
      </c>
      <c r="C233" s="65" t="s">
        <v>498</v>
      </c>
      <c r="D233" s="65" t="s">
        <v>463</v>
      </c>
      <c r="E233" s="65" t="n">
        <v>15</v>
      </c>
      <c r="F233" s="65" t="n">
        <v>44</v>
      </c>
      <c r="G233" s="50" t="n">
        <v>24.7</v>
      </c>
      <c r="H233" s="66" t="n">
        <f aca="false">1-EXP(-G233/100000)</f>
        <v>0.000246969498011396</v>
      </c>
      <c r="I233" s="67" t="n">
        <v>732</v>
      </c>
      <c r="J233" s="63" t="s">
        <v>499</v>
      </c>
    </row>
    <row r="234" customFormat="false" ht="15" hidden="false" customHeight="true" outlineLevel="0" collapsed="false">
      <c r="B234" s="64" t="s">
        <v>497</v>
      </c>
      <c r="C234" s="65" t="s">
        <v>498</v>
      </c>
      <c r="D234" s="65" t="s">
        <v>463</v>
      </c>
      <c r="E234" s="65" t="n">
        <v>45</v>
      </c>
      <c r="F234" s="65" t="n">
        <v>64</v>
      </c>
      <c r="G234" s="50" t="n">
        <v>210.1</v>
      </c>
      <c r="H234" s="66" t="n">
        <f aca="false">1-EXP(-G234/100000)</f>
        <v>0.00209879444439454</v>
      </c>
      <c r="I234" s="67" t="n">
        <v>3623</v>
      </c>
      <c r="J234" s="63" t="s">
        <v>499</v>
      </c>
    </row>
    <row r="235" customFormat="false" ht="15" hidden="false" customHeight="true" outlineLevel="0" collapsed="false">
      <c r="B235" s="64" t="s">
        <v>497</v>
      </c>
      <c r="C235" s="65" t="s">
        <v>498</v>
      </c>
      <c r="D235" s="65" t="s">
        <v>463</v>
      </c>
      <c r="E235" s="65" t="n">
        <v>65</v>
      </c>
      <c r="F235" s="65" t="s">
        <v>464</v>
      </c>
      <c r="G235" s="50" t="n">
        <v>887.4</v>
      </c>
      <c r="H235" s="66" t="n">
        <f aca="false">1-EXP(-G235/100000)</f>
        <v>0.00883474227218206</v>
      </c>
      <c r="I235" s="67" t="n">
        <v>8729</v>
      </c>
      <c r="J235" s="63" t="s">
        <v>499</v>
      </c>
    </row>
    <row r="236" customFormat="false" ht="15" hidden="false" customHeight="true" outlineLevel="0" collapsed="false">
      <c r="B236" s="64" t="s">
        <v>497</v>
      </c>
      <c r="C236" s="65" t="s">
        <v>498</v>
      </c>
      <c r="D236" s="65" t="s">
        <v>465</v>
      </c>
      <c r="E236" s="65" t="n">
        <v>15</v>
      </c>
      <c r="F236" s="65" t="n">
        <v>44</v>
      </c>
      <c r="G236" s="50" t="n">
        <v>21.5</v>
      </c>
      <c r="H236" s="66" t="n">
        <f aca="false">1-EXP(-G236/100000)</f>
        <v>0.000214976889156282</v>
      </c>
      <c r="I236" s="67" t="n">
        <v>638</v>
      </c>
      <c r="J236" s="63" t="s">
        <v>499</v>
      </c>
    </row>
    <row r="237" customFormat="false" ht="15" hidden="false" customHeight="true" outlineLevel="0" collapsed="false">
      <c r="B237" s="64" t="s">
        <v>497</v>
      </c>
      <c r="C237" s="65" t="s">
        <v>498</v>
      </c>
      <c r="D237" s="65" t="s">
        <v>465</v>
      </c>
      <c r="E237" s="65" t="n">
        <v>45</v>
      </c>
      <c r="F237" s="65" t="n">
        <v>64</v>
      </c>
      <c r="G237" s="50" t="n">
        <v>125.7</v>
      </c>
      <c r="H237" s="66" t="n">
        <f aca="false">1-EXP(-G237/100000)</f>
        <v>0.00125621030641632</v>
      </c>
      <c r="I237" s="67" t="n">
        <v>2212</v>
      </c>
      <c r="J237" s="63" t="s">
        <v>499</v>
      </c>
    </row>
    <row r="238" customFormat="false" ht="15" hidden="false" customHeight="true" outlineLevel="0" collapsed="false">
      <c r="B238" s="64" t="s">
        <v>497</v>
      </c>
      <c r="C238" s="65" t="s">
        <v>498</v>
      </c>
      <c r="D238" s="65" t="s">
        <v>465</v>
      </c>
      <c r="E238" s="65" t="n">
        <v>65</v>
      </c>
      <c r="F238" s="65" t="s">
        <v>464</v>
      </c>
      <c r="G238" s="50" t="n">
        <v>636.9</v>
      </c>
      <c r="H238" s="66" t="n">
        <f aca="false">1-EXP(-G238/100000)</f>
        <v>0.00634876090988368</v>
      </c>
      <c r="I238" s="67" t="n">
        <v>7486</v>
      </c>
      <c r="J238" s="63" t="s">
        <v>499</v>
      </c>
    </row>
    <row r="239" customFormat="false" ht="15" hidden="false" customHeight="true" outlineLevel="0" collapsed="false">
      <c r="B239" s="64" t="s">
        <v>500</v>
      </c>
      <c r="C239" s="65" t="s">
        <v>501</v>
      </c>
      <c r="D239" s="65" t="s">
        <v>465</v>
      </c>
      <c r="E239" s="65" t="n">
        <v>30</v>
      </c>
      <c r="F239" s="65" t="n">
        <v>64</v>
      </c>
      <c r="G239" s="55" t="n">
        <f aca="false">$M$239*2*$M$240/(1+$M$240)</f>
        <v>8.89411764705882</v>
      </c>
      <c r="H239" s="66" t="n">
        <f aca="false">1-EXP(-G239/100000)</f>
        <v>8.89372213214168E-005</v>
      </c>
      <c r="J239" s="63" t="s">
        <v>502</v>
      </c>
      <c r="L239" s="68" t="s">
        <v>503</v>
      </c>
      <c r="M239" s="69" t="n">
        <v>6.3</v>
      </c>
      <c r="N239" s="63" t="s">
        <v>504</v>
      </c>
    </row>
    <row r="240" customFormat="false" ht="15" hidden="false" customHeight="true" outlineLevel="0" collapsed="false">
      <c r="B240" s="64" t="s">
        <v>500</v>
      </c>
      <c r="C240" s="65" t="s">
        <v>501</v>
      </c>
      <c r="D240" s="65" t="s">
        <v>463</v>
      </c>
      <c r="E240" s="65" t="n">
        <v>30</v>
      </c>
      <c r="F240" s="65" t="n">
        <v>64</v>
      </c>
      <c r="G240" s="55" t="n">
        <f aca="false">$M$239*2/(1+$M$240)</f>
        <v>3.70588235294118</v>
      </c>
      <c r="H240" s="66" t="n">
        <f aca="false">1-EXP(-G240/100000)</f>
        <v>3.70581368597245E-005</v>
      </c>
      <c r="J240" s="63" t="s">
        <v>505</v>
      </c>
      <c r="L240" s="68" t="s">
        <v>506</v>
      </c>
      <c r="M240" s="69" t="n">
        <v>2.4</v>
      </c>
    </row>
    <row r="241" customFormat="false" ht="15" hidden="false" customHeight="true" outlineLevel="0" collapsed="false">
      <c r="B241" s="64" t="s">
        <v>507</v>
      </c>
      <c r="C241" s="65" t="s">
        <v>508</v>
      </c>
      <c r="D241" s="65" t="s">
        <v>463</v>
      </c>
      <c r="E241" s="65" t="n">
        <v>30</v>
      </c>
      <c r="F241" s="65" t="n">
        <v>64</v>
      </c>
      <c r="G241" s="55" t="n">
        <v>8</v>
      </c>
      <c r="H241" s="66" t="n">
        <f aca="false">1-EXP(-G241/100000)</f>
        <v>7.99968000853024E-005</v>
      </c>
      <c r="J241" s="63" t="s">
        <v>509</v>
      </c>
    </row>
    <row r="242" customFormat="false" ht="15" hidden="false" customHeight="true" outlineLevel="0" collapsed="false">
      <c r="B242" s="64" t="s">
        <v>507</v>
      </c>
      <c r="C242" s="65" t="s">
        <v>508</v>
      </c>
      <c r="D242" s="65" t="s">
        <v>465</v>
      </c>
      <c r="E242" s="65" t="n">
        <v>30</v>
      </c>
      <c r="F242" s="65" t="n">
        <v>64</v>
      </c>
      <c r="G242" s="55" t="n">
        <v>5</v>
      </c>
      <c r="H242" s="66" t="n">
        <f aca="false">1-EXP(-G242/100000)</f>
        <v>4.99987500208743E-005</v>
      </c>
      <c r="J242" s="63" t="s">
        <v>510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6"/>
    <col collapsed="false" customWidth="true" hidden="false" outlineLevel="0" max="4" min="3" style="1" width="10"/>
    <col collapsed="false" customWidth="true" hidden="false" outlineLevel="0" max="8" min="5" style="1" width="11"/>
    <col collapsed="false" customWidth="true" hidden="false" outlineLevel="0" max="10" min="9" style="1" width="12"/>
  </cols>
  <sheetData>
    <row r="2" customFormat="false" ht="18" hidden="false" customHeight="true" outlineLevel="0" collapsed="false">
      <c r="B2" s="16" t="s">
        <v>511</v>
      </c>
    </row>
    <row r="3" customFormat="false" ht="15" hidden="false" customHeight="true" outlineLevel="0" collapsed="false">
      <c r="B3" s="61" t="s">
        <v>512</v>
      </c>
    </row>
    <row r="5" customFormat="false" ht="147.75" hidden="false" customHeight="true" outlineLevel="0" collapsed="false">
      <c r="B5" s="70" t="s">
        <v>513</v>
      </c>
      <c r="C5" s="71" t="s">
        <v>514</v>
      </c>
    </row>
    <row r="7" customFormat="false" ht="15" hidden="false" customHeight="true" outlineLevel="0" collapsed="false">
      <c r="B7" s="18" t="s">
        <v>515</v>
      </c>
      <c r="C7" s="72" t="n">
        <f aca="false">0.5*322000</f>
        <v>161000</v>
      </c>
      <c r="D7" s="61" t="s">
        <v>516</v>
      </c>
    </row>
    <row r="8" customFormat="false" ht="15" hidden="false" customHeight="true" outlineLevel="0" collapsed="false">
      <c r="B8" s="18" t="s">
        <v>517</v>
      </c>
      <c r="C8" s="40" t="s">
        <v>518</v>
      </c>
    </row>
    <row r="10" customFormat="false" ht="15" hidden="false" customHeight="true" outlineLevel="0" collapsed="false">
      <c r="B10" s="51" t="s">
        <v>519</v>
      </c>
      <c r="C10" s="51" t="s">
        <v>520</v>
      </c>
      <c r="D10" s="51" t="s">
        <v>521</v>
      </c>
      <c r="E10" s="51" t="s">
        <v>522</v>
      </c>
      <c r="F10" s="51" t="s">
        <v>523</v>
      </c>
      <c r="G10" s="51" t="s">
        <v>524</v>
      </c>
      <c r="H10" s="51" t="s">
        <v>525</v>
      </c>
      <c r="I10" s="51" t="s">
        <v>526</v>
      </c>
      <c r="J10" s="51" t="s">
        <v>527</v>
      </c>
    </row>
    <row r="11" customFormat="false" ht="15" hidden="false" customHeight="true" outlineLevel="0" collapsed="false">
      <c r="B11" s="65" t="n">
        <v>1</v>
      </c>
      <c r="C11" s="65" t="n">
        <v>35</v>
      </c>
      <c r="D11" s="73" t="n">
        <f aca="false">q_inputs!H11</f>
        <v>0.000901293590717223</v>
      </c>
      <c r="E11" s="73" t="n">
        <f aca="false">q_inputs!H25</f>
        <v>0.00170873844128461</v>
      </c>
      <c r="F11" s="73" t="n">
        <f aca="false">q_inputs!H204</f>
        <v>6.48978940405165E-005</v>
      </c>
      <c r="G11" s="74" t="n">
        <f aca="false">Discount_v!C18</f>
        <v>0.970873786407767</v>
      </c>
      <c r="H11" s="73" t="n">
        <f aca="false">D11*G11</f>
        <v>0.000875042321084682</v>
      </c>
      <c r="I11" s="73" t="n">
        <f aca="false">E11*G11</f>
        <v>0.00165896936047049</v>
      </c>
      <c r="J11" s="73" t="n">
        <f aca="false">F11*G11</f>
        <v>6.30076641170063E-005</v>
      </c>
    </row>
    <row r="12" customFormat="false" ht="15" hidden="false" customHeight="true" outlineLevel="0" collapsed="false">
      <c r="B12" s="65" t="n">
        <v>2</v>
      </c>
      <c r="C12" s="65" t="n">
        <v>36</v>
      </c>
      <c r="D12" s="73" t="n">
        <f aca="false">q_inputs!H11</f>
        <v>0.000901293590717223</v>
      </c>
      <c r="E12" s="73" t="n">
        <f aca="false">q_inputs!H25</f>
        <v>0.00170873844128461</v>
      </c>
      <c r="F12" s="73" t="n">
        <f aca="false">q_inputs!H204</f>
        <v>6.48978940405165E-005</v>
      </c>
      <c r="G12" s="74" t="n">
        <f aca="false">Discount_v!C19</f>
        <v>0.942595909133754</v>
      </c>
      <c r="H12" s="73" t="n">
        <f aca="false">D12*G12</f>
        <v>0.000849555651538526</v>
      </c>
      <c r="I12" s="73" t="n">
        <f aca="false">E12*G12</f>
        <v>0.00161064986453446</v>
      </c>
      <c r="J12" s="73" t="n">
        <f aca="false">F12*G12</f>
        <v>6.11724894339867E-005</v>
      </c>
    </row>
    <row r="13" customFormat="false" ht="15" hidden="false" customHeight="true" outlineLevel="0" collapsed="false">
      <c r="B13" s="65" t="n">
        <v>3</v>
      </c>
      <c r="C13" s="65" t="n">
        <v>37</v>
      </c>
      <c r="D13" s="73" t="n">
        <f aca="false">q_inputs!H11</f>
        <v>0.000901293590717223</v>
      </c>
      <c r="E13" s="73" t="n">
        <f aca="false">q_inputs!H25</f>
        <v>0.00170873844128461</v>
      </c>
      <c r="F13" s="73" t="n">
        <f aca="false">q_inputs!H204</f>
        <v>6.48978940405165E-005</v>
      </c>
      <c r="G13" s="74" t="n">
        <f aca="false">Discount_v!C20</f>
        <v>0.91514165935316</v>
      </c>
      <c r="H13" s="73" t="n">
        <f aca="false">D13*G13</f>
        <v>0.000824811312173327</v>
      </c>
      <c r="I13" s="73" t="n">
        <f aca="false">E13*G13</f>
        <v>0.00156373773255773</v>
      </c>
      <c r="J13" s="73" t="n">
        <f aca="false">F13*G13</f>
        <v>5.93907664407638E-005</v>
      </c>
    </row>
    <row r="14" customFormat="false" ht="15" hidden="false" customHeight="true" outlineLevel="0" collapsed="false">
      <c r="B14" s="65" t="n">
        <v>4</v>
      </c>
      <c r="C14" s="65" t="n">
        <v>38</v>
      </c>
      <c r="D14" s="73" t="n">
        <f aca="false">q_inputs!H11</f>
        <v>0.000901293590717223</v>
      </c>
      <c r="E14" s="73" t="n">
        <f aca="false">q_inputs!H25</f>
        <v>0.00170873844128461</v>
      </c>
      <c r="F14" s="73" t="n">
        <f aca="false">q_inputs!H204</f>
        <v>6.48978940405165E-005</v>
      </c>
      <c r="G14" s="74" t="n">
        <f aca="false">Discount_v!C21</f>
        <v>0.888487047915689</v>
      </c>
      <c r="H14" s="73" t="n">
        <f aca="false">D14*G14</f>
        <v>0.000800787681721676</v>
      </c>
      <c r="I14" s="73" t="n">
        <f aca="false">E14*G14</f>
        <v>0.00151819197335702</v>
      </c>
      <c r="J14" s="73" t="n">
        <f aca="false">F14*G14</f>
        <v>5.76609382920037E-005</v>
      </c>
    </row>
    <row r="15" customFormat="false" ht="15" hidden="false" customHeight="true" outlineLevel="0" collapsed="false">
      <c r="B15" s="65" t="n">
        <v>5</v>
      </c>
      <c r="C15" s="65" t="n">
        <v>39</v>
      </c>
      <c r="D15" s="73" t="n">
        <f aca="false">q_inputs!H11</f>
        <v>0.000901293590717223</v>
      </c>
      <c r="E15" s="73" t="n">
        <f aca="false">q_inputs!H25</f>
        <v>0.00170873844128461</v>
      </c>
      <c r="F15" s="73" t="n">
        <f aca="false">q_inputs!H204</f>
        <v>6.48978940405165E-005</v>
      </c>
      <c r="G15" s="74" t="n">
        <f aca="false">Discount_v!C22</f>
        <v>0.862608784384164</v>
      </c>
      <c r="H15" s="73" t="n">
        <f aca="false">D15*G15</f>
        <v>0.000777463768661822</v>
      </c>
      <c r="I15" s="73" t="n">
        <f aca="false">E15*G15</f>
        <v>0.00147397278966701</v>
      </c>
      <c r="J15" s="73" t="n">
        <f aca="false">F15*G15</f>
        <v>5.59814934873822E-005</v>
      </c>
    </row>
    <row r="16" customFormat="false" ht="15" hidden="false" customHeight="true" outlineLevel="0" collapsed="false">
      <c r="B16" s="65" t="n">
        <v>6</v>
      </c>
      <c r="C16" s="65" t="n">
        <v>40</v>
      </c>
      <c r="D16" s="73" t="n">
        <f aca="false">q_inputs!H12</f>
        <v>0.00134679226018775</v>
      </c>
      <c r="E16" s="73" t="n">
        <f aca="false">q_inputs!H26</f>
        <v>0.00268139861146377</v>
      </c>
      <c r="F16" s="73" t="n">
        <f aca="false">q_inputs!H205</f>
        <v>0.000151988448585327</v>
      </c>
      <c r="G16" s="74" t="n">
        <f aca="false">Discount_v!C23</f>
        <v>0.837484256683654</v>
      </c>
      <c r="H16" s="73" t="n">
        <f aca="false">D16*G16</f>
        <v>0.00112791731493063</v>
      </c>
      <c r="I16" s="73" t="n">
        <f aca="false">E16*G16</f>
        <v>0.00224562912299432</v>
      </c>
      <c r="J16" s="73" t="n">
        <f aca="false">F16*G16</f>
        <v>0.000127287932887985</v>
      </c>
    </row>
    <row r="17" customFormat="false" ht="15" hidden="false" customHeight="true" outlineLevel="0" collapsed="false">
      <c r="B17" s="65" t="n">
        <v>7</v>
      </c>
      <c r="C17" s="65" t="n">
        <v>41</v>
      </c>
      <c r="D17" s="73" t="n">
        <f aca="false">q_inputs!H12</f>
        <v>0.00134679226018775</v>
      </c>
      <c r="E17" s="73" t="n">
        <f aca="false">q_inputs!H26</f>
        <v>0.00268139861146377</v>
      </c>
      <c r="F17" s="73" t="n">
        <f aca="false">q_inputs!H205</f>
        <v>0.000151988448585327</v>
      </c>
      <c r="G17" s="74" t="n">
        <f aca="false">Discount_v!C24</f>
        <v>0.813091511343354</v>
      </c>
      <c r="H17" s="73" t="n">
        <f aca="false">D17*G17</f>
        <v>0.00109506535430159</v>
      </c>
      <c r="I17" s="73" t="n">
        <f aca="false">E17*G17</f>
        <v>0.00218022244950905</v>
      </c>
      <c r="J17" s="73" t="n">
        <f aca="false">F17*G17</f>
        <v>0.000123580517366975</v>
      </c>
    </row>
    <row r="18" customFormat="false" ht="15" hidden="false" customHeight="true" outlineLevel="0" collapsed="false">
      <c r="B18" s="65" t="n">
        <v>8</v>
      </c>
      <c r="C18" s="65" t="n">
        <v>42</v>
      </c>
      <c r="D18" s="73" t="n">
        <f aca="false">q_inputs!H12</f>
        <v>0.00134679226018775</v>
      </c>
      <c r="E18" s="73" t="n">
        <f aca="false">q_inputs!H26</f>
        <v>0.00268139861146377</v>
      </c>
      <c r="F18" s="73" t="n">
        <f aca="false">q_inputs!H205</f>
        <v>0.000151988448585327</v>
      </c>
      <c r="G18" s="74" t="n">
        <f aca="false">Discount_v!C25</f>
        <v>0.789409234313936</v>
      </c>
      <c r="H18" s="73" t="n">
        <f aca="false">D18*G18</f>
        <v>0.00106317024689474</v>
      </c>
      <c r="I18" s="73" t="n">
        <f aca="false">E18*G18</f>
        <v>0.00211672082476606</v>
      </c>
      <c r="J18" s="73" t="n">
        <f aca="false">F18*G18</f>
        <v>0.000119981084822306</v>
      </c>
    </row>
    <row r="19" customFormat="false" ht="15" hidden="false" customHeight="true" outlineLevel="0" collapsed="false">
      <c r="B19" s="65" t="n">
        <v>9</v>
      </c>
      <c r="C19" s="65" t="n">
        <v>43</v>
      </c>
      <c r="D19" s="73" t="n">
        <f aca="false">q_inputs!H12</f>
        <v>0.00134679226018775</v>
      </c>
      <c r="E19" s="73" t="n">
        <f aca="false">q_inputs!H26</f>
        <v>0.00268139861146377</v>
      </c>
      <c r="F19" s="73" t="n">
        <f aca="false">q_inputs!H205</f>
        <v>0.000151988448585327</v>
      </c>
      <c r="G19" s="74" t="n">
        <f aca="false">Discount_v!C26</f>
        <v>0.766416732343627</v>
      </c>
      <c r="H19" s="73" t="n">
        <f aca="false">D19*G19</f>
        <v>0.00103220412319878</v>
      </c>
      <c r="I19" s="73" t="n">
        <f aca="false">E19*G19</f>
        <v>0.0020550687619088</v>
      </c>
      <c r="J19" s="73" t="n">
        <f aca="false">F19*G19</f>
        <v>0.000116486490118744</v>
      </c>
    </row>
    <row r="20" customFormat="false" ht="15" hidden="false" customHeight="true" outlineLevel="0" collapsed="false">
      <c r="B20" s="65" t="n">
        <v>10</v>
      </c>
      <c r="C20" s="65" t="n">
        <v>44</v>
      </c>
      <c r="D20" s="73" t="n">
        <f aca="false">q_inputs!H12</f>
        <v>0.00134679226018775</v>
      </c>
      <c r="E20" s="73" t="n">
        <f aca="false">q_inputs!H26</f>
        <v>0.00268139861146377</v>
      </c>
      <c r="F20" s="73" t="n">
        <f aca="false">q_inputs!H205</f>
        <v>0.000151988448585327</v>
      </c>
      <c r="G20" s="74" t="n">
        <f aca="false">Discount_v!C27</f>
        <v>0.744093914896725</v>
      </c>
      <c r="H20" s="73" t="n">
        <f aca="false">D20*G20</f>
        <v>0.00100213992543571</v>
      </c>
      <c r="I20" s="73" t="n">
        <f aca="false">E20*G20</f>
        <v>0.00199521239020272</v>
      </c>
      <c r="J20" s="73" t="n">
        <f aca="false">F20*G20</f>
        <v>0.000113093679726936</v>
      </c>
    </row>
    <row r="21" customFormat="false" ht="15" hidden="false" customHeight="true" outlineLevel="0" collapsed="false">
      <c r="B21" s="65" t="n">
        <v>11</v>
      </c>
      <c r="C21" s="65" t="n">
        <v>45</v>
      </c>
      <c r="D21" s="73" t="n">
        <f aca="false">q_inputs!H13</f>
        <v>0.00226143908500176</v>
      </c>
      <c r="E21" s="73" t="n">
        <f aca="false">q_inputs!H27</f>
        <v>0.00397926167215157</v>
      </c>
      <c r="F21" s="73" t="n">
        <f aca="false">q_inputs!H206</f>
        <v>0.000255067464761671</v>
      </c>
      <c r="G21" s="74" t="n">
        <f aca="false">Discount_v!C28</f>
        <v>0.722421276598762</v>
      </c>
      <c r="H21" s="73" t="n">
        <f aca="false">D21*G21</f>
        <v>0.00163371171073731</v>
      </c>
      <c r="I21" s="73" t="n">
        <f aca="false">E21*G21</f>
        <v>0.00287470329711626</v>
      </c>
      <c r="J21" s="73" t="n">
        <f aca="false">F21*G21</f>
        <v>0.000184266163511936</v>
      </c>
    </row>
    <row r="22" customFormat="false" ht="15" hidden="false" customHeight="true" outlineLevel="0" collapsed="false">
      <c r="B22" s="65" t="n">
        <v>12</v>
      </c>
      <c r="C22" s="65" t="n">
        <v>46</v>
      </c>
      <c r="D22" s="73" t="n">
        <f aca="false">q_inputs!H13</f>
        <v>0.00226143908500176</v>
      </c>
      <c r="E22" s="73" t="n">
        <f aca="false">q_inputs!H27</f>
        <v>0.00397926167215157</v>
      </c>
      <c r="F22" s="73" t="n">
        <f aca="false">q_inputs!H206</f>
        <v>0.000255067464761671</v>
      </c>
      <c r="G22" s="74" t="n">
        <f aca="false">Discount_v!C29</f>
        <v>0.701379880192973</v>
      </c>
      <c r="H22" s="73" t="n">
        <f aca="false">D22*G22</f>
        <v>0.00158612787450224</v>
      </c>
      <c r="I22" s="73" t="n">
        <f aca="false">E22*G22</f>
        <v>0.00279097407487016</v>
      </c>
      <c r="J22" s="73" t="n">
        <f aca="false">F22*G22</f>
        <v>0.000178899187875666</v>
      </c>
    </row>
    <row r="23" customFormat="false" ht="15" hidden="false" customHeight="true" outlineLevel="0" collapsed="false">
      <c r="B23" s="65" t="n">
        <v>13</v>
      </c>
      <c r="C23" s="65" t="n">
        <v>47</v>
      </c>
      <c r="D23" s="73" t="n">
        <f aca="false">q_inputs!H13</f>
        <v>0.00226143908500176</v>
      </c>
      <c r="E23" s="73" t="n">
        <f aca="false">q_inputs!H27</f>
        <v>0.00397926167215157</v>
      </c>
      <c r="F23" s="73" t="n">
        <f aca="false">q_inputs!H206</f>
        <v>0.000255067464761671</v>
      </c>
      <c r="G23" s="74" t="n">
        <f aca="false">Discount_v!C30</f>
        <v>0.680951339993178</v>
      </c>
      <c r="H23" s="73" t="n">
        <f aca="false">D23*G23</f>
        <v>0.00153992997524489</v>
      </c>
      <c r="I23" s="73" t="n">
        <f aca="false">E23*G23</f>
        <v>0.0027096835678351</v>
      </c>
      <c r="J23" s="73" t="n">
        <f aca="false">F23*G23</f>
        <v>0.000173688531918123</v>
      </c>
    </row>
    <row r="24" customFormat="false" ht="15" hidden="false" customHeight="true" outlineLevel="0" collapsed="false">
      <c r="B24" s="65" t="n">
        <v>14</v>
      </c>
      <c r="C24" s="65" t="n">
        <v>48</v>
      </c>
      <c r="D24" s="73" t="n">
        <f aca="false">q_inputs!H13</f>
        <v>0.00226143908500176</v>
      </c>
      <c r="E24" s="73" t="n">
        <f aca="false">q_inputs!H27</f>
        <v>0.00397926167215157</v>
      </c>
      <c r="F24" s="73" t="n">
        <f aca="false">q_inputs!H206</f>
        <v>0.000255067464761671</v>
      </c>
      <c r="G24" s="74" t="n">
        <f aca="false">Discount_v!C31</f>
        <v>0.661117805818619</v>
      </c>
      <c r="H24" s="73" t="n">
        <f aca="false">D24*G24</f>
        <v>0.00149507764586883</v>
      </c>
      <c r="I24" s="73" t="n">
        <f aca="false">E24*G24</f>
        <v>0.00263076074547097</v>
      </c>
      <c r="J24" s="73" t="n">
        <f aca="false">F24*G24</f>
        <v>0.000168629642638954</v>
      </c>
    </row>
    <row r="25" customFormat="false" ht="15" hidden="false" customHeight="true" outlineLevel="0" collapsed="false">
      <c r="B25" s="65" t="n">
        <v>15</v>
      </c>
      <c r="C25" s="65" t="n">
        <v>49</v>
      </c>
      <c r="D25" s="73" t="n">
        <f aca="false">q_inputs!H13</f>
        <v>0.00226143908500176</v>
      </c>
      <c r="E25" s="73" t="n">
        <f aca="false">q_inputs!H27</f>
        <v>0.00397926167215157</v>
      </c>
      <c r="F25" s="73" t="n">
        <f aca="false">q_inputs!H206</f>
        <v>0.000255067464761671</v>
      </c>
      <c r="G25" s="74" t="n">
        <f aca="false">Discount_v!C32</f>
        <v>0.641861947396717</v>
      </c>
      <c r="H25" s="73" t="n">
        <f aca="false">D25*G25</f>
        <v>0.00145153169501828</v>
      </c>
      <c r="I25" s="73" t="n">
        <f aca="false">E25*G25</f>
        <v>0.00255413664608832</v>
      </c>
      <c r="J25" s="73" t="n">
        <f aca="false">F25*G25</f>
        <v>0.00016371809964947</v>
      </c>
    </row>
    <row r="26" customFormat="false" ht="15" hidden="false" customHeight="true" outlineLevel="0" collapsed="false">
      <c r="B26" s="65" t="n">
        <v>16</v>
      </c>
      <c r="C26" s="65" t="n">
        <v>50</v>
      </c>
      <c r="D26" s="73" t="n">
        <f aca="false">q_inputs!H14</f>
        <v>0.004734357431595</v>
      </c>
      <c r="E26" s="73" t="n">
        <f aca="false">q_inputs!H28</f>
        <v>0.00628725199450275</v>
      </c>
      <c r="F26" s="73" t="n">
        <f aca="false">q_inputs!H207</f>
        <v>0.000593024091664618</v>
      </c>
      <c r="G26" s="74" t="n">
        <f aca="false">Discount_v!C33</f>
        <v>0.623166939220114</v>
      </c>
      <c r="H26" s="73" t="n">
        <f aca="false">D26*G26</f>
        <v>0.00295029502982106</v>
      </c>
      <c r="I26" s="73" t="n">
        <f aca="false">E26*G26</f>
        <v>0.00391800758151984</v>
      </c>
      <c r="J26" s="73" t="n">
        <f aca="false">F26*G26</f>
        <v>0.000369553008086428</v>
      </c>
    </row>
    <row r="27" customFormat="false" ht="15" hidden="false" customHeight="true" outlineLevel="0" collapsed="false">
      <c r="B27" s="65" t="n">
        <v>17</v>
      </c>
      <c r="C27" s="65" t="n">
        <v>51</v>
      </c>
      <c r="D27" s="73" t="n">
        <f aca="false">q_inputs!H14</f>
        <v>0.004734357431595</v>
      </c>
      <c r="E27" s="73" t="n">
        <f aca="false">q_inputs!H28</f>
        <v>0.00628725199450275</v>
      </c>
      <c r="F27" s="73" t="n">
        <f aca="false">q_inputs!H207</f>
        <v>0.000593024091664618</v>
      </c>
      <c r="G27" s="74" t="n">
        <f aca="false">Discount_v!C34</f>
        <v>0.605016445844771</v>
      </c>
      <c r="H27" s="73" t="n">
        <f aca="false">D27*G27</f>
        <v>0.00286436410662239</v>
      </c>
      <c r="I27" s="73" t="n">
        <f aca="false">E27*G27</f>
        <v>0.0038038908558445</v>
      </c>
      <c r="J27" s="73" t="n">
        <f aca="false">F27*G27</f>
        <v>0.000358789328239251</v>
      </c>
    </row>
    <row r="28" customFormat="false" ht="15" hidden="false" customHeight="true" outlineLevel="0" collapsed="false">
      <c r="B28" s="65" t="n">
        <v>18</v>
      </c>
      <c r="C28" s="65" t="n">
        <v>52</v>
      </c>
      <c r="D28" s="73" t="n">
        <f aca="false">q_inputs!H14</f>
        <v>0.004734357431595</v>
      </c>
      <c r="E28" s="73" t="n">
        <f aca="false">q_inputs!H28</f>
        <v>0.00628725199450275</v>
      </c>
      <c r="F28" s="73" t="n">
        <f aca="false">q_inputs!H207</f>
        <v>0.000593024091664618</v>
      </c>
      <c r="G28" s="74" t="n">
        <f aca="false">Discount_v!C35</f>
        <v>0.587394607616282</v>
      </c>
      <c r="H28" s="73" t="n">
        <f aca="false">D28*G28</f>
        <v>0.00278093602584698</v>
      </c>
      <c r="I28" s="73" t="n">
        <f aca="false">E28*G28</f>
        <v>0.00369309791829563</v>
      </c>
      <c r="J28" s="73" t="n">
        <f aca="false">F28*G28</f>
        <v>0.00034833915363034</v>
      </c>
    </row>
    <row r="29" customFormat="false" ht="15" hidden="false" customHeight="true" outlineLevel="0" collapsed="false">
      <c r="B29" s="65" t="n">
        <v>19</v>
      </c>
      <c r="C29" s="65" t="n">
        <v>53</v>
      </c>
      <c r="D29" s="73" t="n">
        <f aca="false">q_inputs!H14</f>
        <v>0.004734357431595</v>
      </c>
      <c r="E29" s="73" t="n">
        <f aca="false">q_inputs!H28</f>
        <v>0.00628725199450275</v>
      </c>
      <c r="F29" s="73" t="n">
        <f aca="false">q_inputs!H207</f>
        <v>0.000593024091664618</v>
      </c>
      <c r="G29" s="74" t="n">
        <f aca="false">Discount_v!C36</f>
        <v>0.570286026811925</v>
      </c>
      <c r="H29" s="73" t="n">
        <f aca="false">D29*G29</f>
        <v>0.00269993788917182</v>
      </c>
      <c r="I29" s="73" t="n">
        <f aca="false">E29*G29</f>
        <v>0.00358553195951032</v>
      </c>
      <c r="J29" s="73" t="n">
        <f aca="false">F29*G29</f>
        <v>0.000338193353039166</v>
      </c>
    </row>
    <row r="30" customFormat="false" ht="15" hidden="false" customHeight="true" outlineLevel="0" collapsed="false">
      <c r="B30" s="65" t="n">
        <v>20</v>
      </c>
      <c r="C30" s="65" t="n">
        <v>54</v>
      </c>
      <c r="D30" s="73" t="n">
        <f aca="false">q_inputs!H14</f>
        <v>0.004734357431595</v>
      </c>
      <c r="E30" s="73" t="n">
        <f aca="false">q_inputs!H28</f>
        <v>0.00628725199450275</v>
      </c>
      <c r="F30" s="73" t="n">
        <f aca="false">q_inputs!H207</f>
        <v>0.000593024091664618</v>
      </c>
      <c r="G30" s="74" t="n">
        <f aca="false">Discount_v!C37</f>
        <v>0.553675754186335</v>
      </c>
      <c r="H30" s="73" t="n">
        <f aca="false">D30*G30</f>
        <v>0.00262129892152604</v>
      </c>
      <c r="I30" s="73" t="n">
        <f aca="false">E30*G30</f>
        <v>0.00348109898981585</v>
      </c>
      <c r="J30" s="73" t="n">
        <f aca="false">F30*G30</f>
        <v>0.000328343061203073</v>
      </c>
    </row>
    <row r="31" customFormat="false" ht="15" hidden="false" customHeight="true" outlineLevel="0" collapsed="false">
      <c r="B31" s="65" t="n">
        <v>21</v>
      </c>
      <c r="C31" s="65" t="n">
        <v>55</v>
      </c>
      <c r="D31" s="73" t="n">
        <f aca="false">q_inputs!H15</f>
        <v>0.0086621653784289</v>
      </c>
      <c r="E31" s="73" t="n">
        <f aca="false">q_inputs!H29</f>
        <v>0.00727014371489287</v>
      </c>
      <c r="F31" s="73" t="n">
        <f aca="false">q_inputs!H208</f>
        <v>0.000397720888070552</v>
      </c>
      <c r="G31" s="74" t="n">
        <f aca="false">Discount_v!C38</f>
        <v>0.537549275909063</v>
      </c>
      <c r="H31" s="73" t="n">
        <f aca="false">D31*G31</f>
        <v>0.00465634072697901</v>
      </c>
      <c r="I31" s="73" t="n">
        <f aca="false">E31*G31</f>
        <v>0.00390806048969549</v>
      </c>
      <c r="J31" s="73" t="n">
        <f aca="false">F31*G31</f>
        <v>0.000213794575396235</v>
      </c>
    </row>
    <row r="32" customFormat="false" ht="15" hidden="false" customHeight="true" outlineLevel="0" collapsed="false">
      <c r="B32" s="65" t="n">
        <v>22</v>
      </c>
      <c r="C32" s="65" t="n">
        <v>56</v>
      </c>
      <c r="D32" s="73" t="n">
        <f aca="false">q_inputs!H15</f>
        <v>0.0086621653784289</v>
      </c>
      <c r="E32" s="73" t="n">
        <f aca="false">q_inputs!H29</f>
        <v>0.00727014371489287</v>
      </c>
      <c r="F32" s="73" t="n">
        <f aca="false">q_inputs!H208</f>
        <v>0.000397720888070552</v>
      </c>
      <c r="G32" s="74" t="n">
        <f aca="false">Discount_v!C39</f>
        <v>0.521892500882585</v>
      </c>
      <c r="H32" s="73" t="n">
        <f aca="false">D32*G32</f>
        <v>0.0045207191524068</v>
      </c>
      <c r="I32" s="73" t="n">
        <f aca="false">E32*G32</f>
        <v>0.00379423348514125</v>
      </c>
      <c r="J32" s="73" t="n">
        <f aca="false">F32*G32</f>
        <v>0.000207567548928383</v>
      </c>
    </row>
    <row r="33" customFormat="false" ht="15" hidden="false" customHeight="true" outlineLevel="0" collapsed="false">
      <c r="B33" s="65" t="n">
        <v>23</v>
      </c>
      <c r="C33" s="65" t="n">
        <v>57</v>
      </c>
      <c r="D33" s="73" t="n">
        <f aca="false">q_inputs!H15</f>
        <v>0.0086621653784289</v>
      </c>
      <c r="E33" s="73" t="n">
        <f aca="false">q_inputs!H29</f>
        <v>0.00727014371489287</v>
      </c>
      <c r="F33" s="73" t="n">
        <f aca="false">q_inputs!H208</f>
        <v>0.000397720888070552</v>
      </c>
      <c r="G33" s="74" t="n">
        <f aca="false">Discount_v!C40</f>
        <v>0.506691748429694</v>
      </c>
      <c r="H33" s="73" t="n">
        <f aca="false">D33*G33</f>
        <v>0.0043890477207833</v>
      </c>
      <c r="I33" s="73" t="n">
        <f aca="false">E33*G33</f>
        <v>0.00368372183023422</v>
      </c>
      <c r="J33" s="73" t="n">
        <f aca="false">F33*G33</f>
        <v>0.000201521892163479</v>
      </c>
    </row>
    <row r="34" customFormat="false" ht="15" hidden="false" customHeight="true" outlineLevel="0" collapsed="false">
      <c r="B34" s="65" t="n">
        <v>24</v>
      </c>
      <c r="C34" s="65" t="n">
        <v>58</v>
      </c>
      <c r="D34" s="73" t="n">
        <f aca="false">q_inputs!H15</f>
        <v>0.0086621653784289</v>
      </c>
      <c r="E34" s="73" t="n">
        <f aca="false">q_inputs!H29</f>
        <v>0.00727014371489287</v>
      </c>
      <c r="F34" s="73" t="n">
        <f aca="false">q_inputs!H208</f>
        <v>0.000397720888070552</v>
      </c>
      <c r="G34" s="74" t="n">
        <f aca="false">Discount_v!C41</f>
        <v>0.491933736339509</v>
      </c>
      <c r="H34" s="73" t="n">
        <f aca="false">D34*G34</f>
        <v>0.00426121137940127</v>
      </c>
      <c r="I34" s="73" t="n">
        <f aca="false">E34*G34</f>
        <v>0.00357642896139245</v>
      </c>
      <c r="J34" s="73" t="n">
        <f aca="false">F34*G34</f>
        <v>0.000195652322488814</v>
      </c>
    </row>
    <row r="35" customFormat="false" ht="15" hidden="false" customHeight="true" outlineLevel="0" collapsed="false">
      <c r="B35" s="65" t="n">
        <v>25</v>
      </c>
      <c r="C35" s="65" t="n">
        <v>59</v>
      </c>
      <c r="D35" s="73" t="n">
        <f aca="false">q_inputs!H15</f>
        <v>0.0086621653784289</v>
      </c>
      <c r="E35" s="73" t="n">
        <f aca="false">q_inputs!H29</f>
        <v>0.00727014371489287</v>
      </c>
      <c r="F35" s="73" t="n">
        <f aca="false">q_inputs!H208</f>
        <v>0.000397720888070552</v>
      </c>
      <c r="G35" s="74" t="n">
        <f aca="false">Discount_v!C42</f>
        <v>0.477605569261659</v>
      </c>
      <c r="H35" s="73" t="n">
        <f aca="false">D35*G35</f>
        <v>0.00413709842660317</v>
      </c>
      <c r="I35" s="73" t="n">
        <f aca="false">E35*G35</f>
        <v>0.00347226112756548</v>
      </c>
      <c r="J35" s="73" t="n">
        <f aca="false">F35*G35</f>
        <v>0.000189953711154189</v>
      </c>
    </row>
    <row r="36" customFormat="false" ht="15" hidden="false" customHeight="true" outlineLevel="0" collapsed="false">
      <c r="B36" s="65" t="n">
        <v>26</v>
      </c>
      <c r="C36" s="65" t="n">
        <v>60</v>
      </c>
      <c r="D36" s="73" t="n">
        <f aca="false">q_inputs!H16</f>
        <v>0.0136383434517279</v>
      </c>
      <c r="E36" s="73" t="n">
        <f aca="false">q_inputs!H30</f>
        <v>0.00983976953986665</v>
      </c>
      <c r="F36" s="73" t="n">
        <f aca="false">q_inputs!H209</f>
        <v>0.000477585919521184</v>
      </c>
      <c r="G36" s="74" t="n">
        <f aca="false">Discount_v!C43</f>
        <v>0.463694727438504</v>
      </c>
      <c r="H36" s="73" t="n">
        <f aca="false">D36*G36</f>
        <v>0.00632402794956166</v>
      </c>
      <c r="I36" s="73" t="n">
        <f aca="false">E36*G36</f>
        <v>0.00456264925484616</v>
      </c>
      <c r="J36" s="73" t="n">
        <f aca="false">F36*G36</f>
        <v>0.000221454072780843</v>
      </c>
    </row>
    <row r="37" customFormat="false" ht="15" hidden="false" customHeight="true" outlineLevel="0" collapsed="false">
      <c r="B37" s="65" t="n">
        <v>27</v>
      </c>
      <c r="C37" s="65" t="n">
        <v>61</v>
      </c>
      <c r="D37" s="73" t="n">
        <f aca="false">q_inputs!H16</f>
        <v>0.0136383434517279</v>
      </c>
      <c r="E37" s="73" t="n">
        <f aca="false">q_inputs!H30</f>
        <v>0.00983976953986665</v>
      </c>
      <c r="F37" s="73" t="n">
        <f aca="false">q_inputs!H209</f>
        <v>0.000477585919521184</v>
      </c>
      <c r="G37" s="74" t="n">
        <f aca="false">Discount_v!C44</f>
        <v>0.450189055765538</v>
      </c>
      <c r="H37" s="73" t="n">
        <f aca="false">D37*G37</f>
        <v>0.00613983296073948</v>
      </c>
      <c r="I37" s="73" t="n">
        <f aca="false">E37*G37</f>
        <v>0.00442975655810307</v>
      </c>
      <c r="J37" s="73" t="n">
        <f aca="false">F37*G37</f>
        <v>0.000215003954156158</v>
      </c>
    </row>
    <row r="38" customFormat="false" ht="15" hidden="false" customHeight="true" outlineLevel="0" collapsed="false">
      <c r="B38" s="65" t="n">
        <v>28</v>
      </c>
      <c r="C38" s="65" t="n">
        <v>62</v>
      </c>
      <c r="D38" s="73" t="n">
        <f aca="false">q_inputs!H16</f>
        <v>0.0136383434517279</v>
      </c>
      <c r="E38" s="73" t="n">
        <f aca="false">q_inputs!H30</f>
        <v>0.00983976953986665</v>
      </c>
      <c r="F38" s="73" t="n">
        <f aca="false">q_inputs!H209</f>
        <v>0.000477585919521184</v>
      </c>
      <c r="G38" s="74" t="n">
        <f aca="false">Discount_v!C45</f>
        <v>0.437076753170425</v>
      </c>
      <c r="H38" s="73" t="n">
        <f aca="false">D38*G38</f>
        <v>0.00596100287450435</v>
      </c>
      <c r="I38" s="73" t="n">
        <f aca="false">E38*G38</f>
        <v>0.00430073452243016</v>
      </c>
      <c r="J38" s="73" t="n">
        <f aca="false">F38*G38</f>
        <v>0.000208741703064231</v>
      </c>
    </row>
    <row r="39" customFormat="false" ht="15" hidden="false" customHeight="true" outlineLevel="0" collapsed="false">
      <c r="B39" s="65" t="n">
        <v>29</v>
      </c>
      <c r="C39" s="65" t="n">
        <v>63</v>
      </c>
      <c r="D39" s="73" t="n">
        <f aca="false">q_inputs!H16</f>
        <v>0.0136383434517279</v>
      </c>
      <c r="E39" s="73" t="n">
        <f aca="false">q_inputs!H30</f>
        <v>0.00983976953986665</v>
      </c>
      <c r="F39" s="73" t="n">
        <f aca="false">q_inputs!H209</f>
        <v>0.000477585919521184</v>
      </c>
      <c r="G39" s="74" t="n">
        <f aca="false">Discount_v!C46</f>
        <v>0.424346362301384</v>
      </c>
      <c r="H39" s="73" t="n">
        <f aca="false">D39*G39</f>
        <v>0.00578738143155762</v>
      </c>
      <c r="I39" s="73" t="n">
        <f aca="false">E39*G39</f>
        <v>0.00417547041012637</v>
      </c>
      <c r="J39" s="73" t="n">
        <f aca="false">F39*G39</f>
        <v>0.000202661847635176</v>
      </c>
    </row>
    <row r="40" customFormat="false" ht="15" hidden="false" customHeight="true" outlineLevel="0" collapsed="false">
      <c r="B40" s="65" t="n">
        <v>30</v>
      </c>
      <c r="C40" s="65" t="n">
        <v>64</v>
      </c>
      <c r="D40" s="73" t="n">
        <f aca="false">q_inputs!H16</f>
        <v>0.0136383434517279</v>
      </c>
      <c r="E40" s="73" t="n">
        <f aca="false">q_inputs!H30</f>
        <v>0.00983976953986665</v>
      </c>
      <c r="F40" s="73" t="n">
        <f aca="false">q_inputs!H209</f>
        <v>0.000477585919521184</v>
      </c>
      <c r="G40" s="74" t="n">
        <f aca="false">Discount_v!C47</f>
        <v>0.411986759515906</v>
      </c>
      <c r="H40" s="73" t="n">
        <f aca="false">D40*G40</f>
        <v>0.00561881692384235</v>
      </c>
      <c r="I40" s="73" t="n">
        <f aca="false">E40*G40</f>
        <v>0.00405385476711298</v>
      </c>
      <c r="J40" s="73" t="n">
        <f aca="false">F40*G40</f>
        <v>0.000196759075373957</v>
      </c>
    </row>
    <row r="41" customFormat="false" ht="15" hidden="false" customHeight="true" outlineLevel="0" collapsed="false">
      <c r="B41" s="18" t="s">
        <v>528</v>
      </c>
      <c r="H41" s="75" t="n">
        <f aca="false">SUM(H11:H40)</f>
        <v>0.0828668481206803</v>
      </c>
      <c r="I41" s="75" t="n">
        <f aca="false">SUM(I11:I40)</f>
        <v>0.0904174323129822</v>
      </c>
      <c r="J41" s="75" t="n">
        <f aca="false">SUM(J11:J40)</f>
        <v>0.00556317328962796</v>
      </c>
    </row>
    <row r="43" customFormat="false" ht="15" hidden="false" customHeight="true" outlineLevel="0" collapsed="false">
      <c r="B43" s="29" t="s">
        <v>529</v>
      </c>
    </row>
    <row r="44" customFormat="false" ht="15" hidden="false" customHeight="true" outlineLevel="0" collapsed="false">
      <c r="B44" s="51" t="s">
        <v>259</v>
      </c>
      <c r="C44" s="51" t="s">
        <v>530</v>
      </c>
      <c r="D44" s="51" t="s">
        <v>531</v>
      </c>
      <c r="E44" s="51" t="s">
        <v>532</v>
      </c>
      <c r="F44" s="51" t="s">
        <v>533</v>
      </c>
      <c r="G44" s="51" t="s">
        <v>534</v>
      </c>
      <c r="H44" s="51" t="s">
        <v>535</v>
      </c>
    </row>
    <row r="45" customFormat="false" ht="15" hidden="false" customHeight="true" outlineLevel="0" collapsed="false">
      <c r="B45" s="27" t="s">
        <v>264</v>
      </c>
      <c r="C45" s="76" t="n">
        <f aca="false">Wording_Scores!C104</f>
        <v>1</v>
      </c>
      <c r="D45" s="76" t="n">
        <f aca="false">Wording_Scores!C107</f>
        <v>1</v>
      </c>
      <c r="E45" s="76" t="n">
        <f aca="false">Benefit_b!C109</f>
        <v>0.124223602484472</v>
      </c>
      <c r="F45" s="77" t="n">
        <f aca="false">C45*Benefit_b!C106*$C$7*H41</f>
        <v>13341.5625474295</v>
      </c>
      <c r="G45" s="77" t="n">
        <f aca="false">C45*Benefit_b!C106*$C$7*I41+D45*E45*$C$7*J41</f>
        <v>14668.4700681827</v>
      </c>
      <c r="H45" s="78" t="n">
        <f aca="false">AVERAGE(F45:G45)</f>
        <v>14005.0163078061</v>
      </c>
    </row>
    <row r="46" customFormat="false" ht="15" hidden="false" customHeight="true" outlineLevel="0" collapsed="false">
      <c r="B46" s="27" t="s">
        <v>265</v>
      </c>
      <c r="C46" s="76" t="n">
        <f aca="false">Wording_Scores!D104</f>
        <v>0.4</v>
      </c>
      <c r="D46" s="76" t="n">
        <f aca="false">Wording_Scores!D107</f>
        <v>0.6</v>
      </c>
      <c r="E46" s="76" t="n">
        <f aca="false">Benefit_b!D109</f>
        <v>0.093167701863354</v>
      </c>
      <c r="F46" s="77" t="n">
        <f aca="false">C46*Benefit_b!D106*$C$7*H41</f>
        <v>5336.62501897181</v>
      </c>
      <c r="G46" s="77" t="n">
        <f aca="false">C46*Benefit_b!D106*$C$7*I41+D46*E46*$C$7*J41</f>
        <v>5872.95120056271</v>
      </c>
      <c r="H46" s="78" t="n">
        <f aca="false">AVERAGE(F46:G46)</f>
        <v>5604.78810976726</v>
      </c>
    </row>
    <row r="47" customFormat="false" ht="15" hidden="false" customHeight="true" outlineLevel="0" collapsed="false">
      <c r="B47" s="27" t="s">
        <v>266</v>
      </c>
      <c r="C47" s="76" t="n">
        <f aca="false">Wording_Scores!E104</f>
        <v>0.2</v>
      </c>
      <c r="D47" s="76" t="n">
        <f aca="false">Wording_Scores!E107</f>
        <v>0.4</v>
      </c>
      <c r="E47" s="76" t="n">
        <f aca="false">Benefit_b!E109</f>
        <v>0.093167701863354</v>
      </c>
      <c r="F47" s="77" t="n">
        <f aca="false">C47*Benefit_b!E106*$C$7*H41</f>
        <v>2668.31250948591</v>
      </c>
      <c r="G47" s="77" t="n">
        <f aca="false">C47*Benefit_b!E106*$C$7*I41+D47*E47*$C$7*J41</f>
        <v>2944.8203602158</v>
      </c>
      <c r="H47" s="78" t="n">
        <f aca="false">AVERAGE(F47:G47)</f>
        <v>2806.56643485085</v>
      </c>
    </row>
    <row r="48" customFormat="false" ht="15" hidden="false" customHeight="true" outlineLevel="0" collapsed="false">
      <c r="B48" s="27" t="s">
        <v>267</v>
      </c>
      <c r="C48" s="76" t="n">
        <f aca="false">Wording_Scores!F104</f>
        <v>0.8</v>
      </c>
      <c r="D48" s="76" t="n">
        <f aca="false">Wording_Scores!F107</f>
        <v>0.8</v>
      </c>
      <c r="E48" s="76" t="n">
        <f aca="false">Benefit_b!F109</f>
        <v>0.093167701863354</v>
      </c>
      <c r="F48" s="77" t="n">
        <f aca="false">C48*Benefit_b!F106*$C$7*H41</f>
        <v>10673.2500379436</v>
      </c>
      <c r="G48" s="77" t="n">
        <f aca="false">C48*Benefit_b!F106*$C$7*I41+D48*E48*$C$7*J41</f>
        <v>11712.5233613876</v>
      </c>
      <c r="H48" s="78" t="n">
        <f aca="false">AVERAGE(F48:G48)</f>
        <v>11192.8866996656</v>
      </c>
    </row>
    <row r="49" customFormat="false" ht="15" hidden="false" customHeight="true" outlineLevel="0" collapsed="false">
      <c r="B49" s="27" t="s">
        <v>268</v>
      </c>
      <c r="C49" s="76" t="n">
        <f aca="false">Wording_Scores!G104</f>
        <v>0.6</v>
      </c>
      <c r="D49" s="76" t="n">
        <f aca="false">Wording_Scores!G107</f>
        <v>0</v>
      </c>
      <c r="E49" s="76" t="n">
        <f aca="false">Benefit_b!G109</f>
        <v>0</v>
      </c>
      <c r="F49" s="77" t="n">
        <f aca="false">C49*Benefit_b!G106*$C$7*H41</f>
        <v>8004.93752845772</v>
      </c>
      <c r="G49" s="77" t="n">
        <f aca="false">C49*Benefit_b!G106*$C$7*I41+D49*E49*$C$7*J41</f>
        <v>8734.32396143409</v>
      </c>
      <c r="H49" s="78" t="n">
        <f aca="false">AVERAGE(F49:G49)</f>
        <v>8369.6307449459</v>
      </c>
    </row>
    <row r="50" customFormat="false" ht="15" hidden="false" customHeight="true" outlineLevel="0" collapsed="false">
      <c r="B50" s="18" t="s">
        <v>536</v>
      </c>
      <c r="C50" s="61" t="s">
        <v>537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8"/>
    <col collapsed="false" customWidth="true" hidden="false" outlineLevel="0" max="8" min="3" style="1" width="11"/>
  </cols>
  <sheetData>
    <row r="2" customFormat="false" ht="18" hidden="false" customHeight="true" outlineLevel="0" collapsed="false">
      <c r="B2" s="16" t="s">
        <v>538</v>
      </c>
    </row>
    <row r="3" customFormat="false" ht="15" hidden="false" customHeight="true" outlineLevel="0" collapsed="false">
      <c r="B3" s="61" t="s">
        <v>539</v>
      </c>
    </row>
    <row r="5" customFormat="false" ht="15" hidden="false" customHeight="true" outlineLevel="0" collapsed="false">
      <c r="B5" s="18" t="s">
        <v>515</v>
      </c>
      <c r="C5" s="77" t="n">
        <f aca="false">EPV_cancer!C7</f>
        <v>161000</v>
      </c>
    </row>
    <row r="7" customFormat="false" ht="15" hidden="false" customHeight="true" outlineLevel="0" collapsed="false">
      <c r="B7" s="64" t="s">
        <v>540</v>
      </c>
      <c r="C7" s="48" t="n">
        <f aca="false">SUM(Discount_v!C18:C27)</f>
        <v>8.53020283677583</v>
      </c>
    </row>
    <row r="8" customFormat="false" ht="15" hidden="false" customHeight="true" outlineLevel="0" collapsed="false">
      <c r="B8" s="64" t="s">
        <v>541</v>
      </c>
      <c r="C8" s="48" t="n">
        <f aca="false">SUM(Discount_v!C28:C47)</f>
        <v>11.0702385126939</v>
      </c>
    </row>
    <row r="9" customFormat="false" ht="15" hidden="false" customHeight="true" outlineLevel="0" collapsed="false">
      <c r="B9" s="64" t="s">
        <v>542</v>
      </c>
      <c r="C9" s="48" t="n">
        <f aca="false">C7+C8</f>
        <v>19.6004413494698</v>
      </c>
    </row>
    <row r="10" customFormat="false" ht="15" hidden="false" customHeight="true" outlineLevel="0" collapsed="false">
      <c r="B10" s="18" t="s">
        <v>543</v>
      </c>
      <c r="C10" s="79" t="n">
        <f aca="false">C27/C28</f>
        <v>0.794192997438087</v>
      </c>
      <c r="D10" s="63" t="s">
        <v>544</v>
      </c>
    </row>
    <row r="11" customFormat="false" ht="15" hidden="false" customHeight="true" outlineLevel="0" collapsed="false">
      <c r="B11" s="29" t="s">
        <v>545</v>
      </c>
    </row>
    <row r="12" customFormat="false" ht="15" hidden="false" customHeight="true" outlineLevel="0" collapsed="false">
      <c r="B12" s="51" t="s">
        <v>306</v>
      </c>
      <c r="C12" s="51" t="s">
        <v>546</v>
      </c>
      <c r="D12" s="51" t="s">
        <v>547</v>
      </c>
    </row>
    <row r="13" customFormat="false" ht="15" hidden="false" customHeight="true" outlineLevel="0" collapsed="false">
      <c r="B13" s="27" t="s">
        <v>548</v>
      </c>
      <c r="C13" s="66" t="n">
        <f aca="false">q_inputs!H227*$C$7+q_inputs!H228*$C$8</f>
        <v>0.037469837395554</v>
      </c>
      <c r="D13" s="66" t="n">
        <f aca="false">q_inputs!H230*$C$7+q_inputs!H231*$C$8</f>
        <v>0.00925311133860253</v>
      </c>
    </row>
    <row r="14" customFormat="false" ht="15" hidden="false" customHeight="true" outlineLevel="0" collapsed="false">
      <c r="B14" s="27" t="s">
        <v>549</v>
      </c>
      <c r="C14" s="66" t="n">
        <f aca="false">(q_inputs!H233*$C$7+q_inputs!H234*$C$8)*$C$10</f>
        <v>0.0201255295909663</v>
      </c>
      <c r="D14" s="66" t="n">
        <f aca="false">(q_inputs!H236*$C$7+q_inputs!H237*$C$8)*$C$10</f>
        <v>0.0125008711280831</v>
      </c>
    </row>
    <row r="15" customFormat="false" ht="15" hidden="false" customHeight="true" outlineLevel="0" collapsed="false">
      <c r="B15" s="27" t="s">
        <v>550</v>
      </c>
      <c r="C15" s="66" t="n">
        <f aca="false">q_inputs!H240*$C$9</f>
        <v>0.000726355838039653</v>
      </c>
      <c r="D15" s="66" t="n">
        <f aca="false">q_inputs!H239*$C$9</f>
        <v>0.00174320879029524</v>
      </c>
    </row>
    <row r="16" customFormat="false" ht="15" hidden="false" customHeight="true" outlineLevel="0" collapsed="false">
      <c r="B16" s="27" t="s">
        <v>551</v>
      </c>
      <c r="C16" s="66" t="n">
        <f aca="false">q_inputs!H241*$C$9</f>
        <v>0.00156797258821723</v>
      </c>
      <c r="D16" s="66" t="n">
        <f aca="false">q_inputs!H242*$C$9</f>
        <v>0.000979997567330947</v>
      </c>
    </row>
    <row r="18" customFormat="false" ht="15" hidden="false" customHeight="true" outlineLevel="0" collapsed="false">
      <c r="B18" s="29" t="s">
        <v>552</v>
      </c>
    </row>
    <row r="19" customFormat="false" ht="15" hidden="false" customHeight="true" outlineLevel="0" collapsed="false">
      <c r="B19" s="51" t="s">
        <v>259</v>
      </c>
      <c r="C19" s="51" t="s">
        <v>533</v>
      </c>
      <c r="D19" s="51" t="s">
        <v>534</v>
      </c>
    </row>
    <row r="20" customFormat="false" ht="15" hidden="false" customHeight="true" outlineLevel="0" collapsed="false">
      <c r="B20" s="27" t="s">
        <v>264</v>
      </c>
      <c r="C20" s="77" t="n">
        <f aca="false">$C$5*(Wording_Scores!C37*Benefit_b!C39*C13+Wording_Scores!C51*Benefit_b!C53*C14+Wording_Scores!C86*Benefit_b!C88*C15+Wording_Scores!C137*Benefit_b!C139*C16)</f>
        <v>2751.3450551272</v>
      </c>
      <c r="D20" s="77" t="n">
        <f aca="false">$C$5*(Wording_Scores!C37*Benefit_b!C39*D13+Wording_Scores!C51*Benefit_b!C53*D14+Wording_Scores!C86*Benefit_b!C88*D15+Wording_Scores!C137*Benefit_b!C139*D16)</f>
        <v>1341.49261851879</v>
      </c>
    </row>
    <row r="21" customFormat="false" ht="15" hidden="false" customHeight="true" outlineLevel="0" collapsed="false">
      <c r="B21" s="27" t="s">
        <v>265</v>
      </c>
      <c r="C21" s="77" t="n">
        <f aca="false">$C$5*(Wording_Scores!D37*Benefit_b!D39*C13+Wording_Scores!D51*Benefit_b!D53*C14+Wording_Scores!D86*Benefit_b!D88*C15+Wording_Scores!D137*Benefit_b!D139*C16)</f>
        <v>7612.81533448451</v>
      </c>
      <c r="D21" s="77" t="n">
        <f aca="false">$C$5*(Wording_Scores!D37*Benefit_b!D39*D13+Wording_Scores!D51*Benefit_b!D53*D14+Wording_Scores!D86*Benefit_b!D88*D15+Wording_Scores!D137*Benefit_b!D139*D16)</f>
        <v>3089.55007723524</v>
      </c>
    </row>
    <row r="22" customFormat="false" ht="15" hidden="false" customHeight="true" outlineLevel="0" collapsed="false">
      <c r="B22" s="27" t="s">
        <v>266</v>
      </c>
      <c r="C22" s="77" t="n">
        <f aca="false">$C$5*(Wording_Scores!E37*Benefit_b!E39*C13+Wording_Scores!E51*Benefit_b!E53*C14+Wording_Scores!E86*Benefit_b!E88*C15+Wording_Scores!E137*Benefit_b!E139*C16)</f>
        <v>4477.83837805624</v>
      </c>
      <c r="D22" s="77" t="n">
        <f aca="false">$C$5*(Wording_Scores!E37*Benefit_b!E39*D13+Wording_Scores!E51*Benefit_b!E53*D14+Wording_Scores!E86*Benefit_b!E88*D15+Wording_Scores!E137*Benefit_b!E139*D16)</f>
        <v>2003.4344119894</v>
      </c>
    </row>
    <row r="23" customFormat="false" ht="15" hidden="false" customHeight="true" outlineLevel="0" collapsed="false">
      <c r="B23" s="27" t="s">
        <v>267</v>
      </c>
      <c r="C23" s="77" t="n">
        <f aca="false">$C$5*(Wording_Scores!F37*Benefit_b!F39*C13+Wording_Scores!F51*Benefit_b!F53*C14+Wording_Scores!F86*Benefit_b!F88*C15+Wording_Scores!F137*Benefit_b!F139*C16)</f>
        <v>4543.46058992748</v>
      </c>
      <c r="D23" s="77" t="n">
        <f aca="false">$C$5*(Wording_Scores!F37*Benefit_b!F39*D13+Wording_Scores!F51*Benefit_b!F53*D14+Wording_Scores!F86*Benefit_b!F88*D15+Wording_Scores!F137*Benefit_b!F139*D16)</f>
        <v>1510.28953702107</v>
      </c>
    </row>
    <row r="24" customFormat="false" ht="15" hidden="false" customHeight="true" outlineLevel="0" collapsed="false">
      <c r="B24" s="27" t="s">
        <v>268</v>
      </c>
      <c r="C24" s="77" t="n">
        <f aca="false">$C$5*(Wording_Scores!G37*Benefit_b!G39*C13+Wording_Scores!G51*Benefit_b!G53*C14+Wording_Scores!G86*Benefit_b!G88*C15+Wording_Scores!G137*Benefit_b!G139*C16)</f>
        <v>9541.26352677593</v>
      </c>
      <c r="D24" s="77" t="n">
        <f aca="false">$C$5*(Wording_Scores!G37*Benefit_b!G39*D13+Wording_Scores!G51*Benefit_b!G53*D14+Wording_Scores!G86*Benefit_b!G88*D15+Wording_Scores!G137*Benefit_b!G139*D16)</f>
        <v>3877.71555737808</v>
      </c>
    </row>
    <row r="25" customFormat="false" ht="15" hidden="false" customHeight="true" outlineLevel="0" collapsed="false">
      <c r="B25" s="18" t="s">
        <v>536</v>
      </c>
      <c r="C25" s="61" t="s">
        <v>553</v>
      </c>
    </row>
    <row r="27" customFormat="false" ht="15" hidden="false" customHeight="true" outlineLevel="0" collapsed="false">
      <c r="B27" s="80" t="s">
        <v>554</v>
      </c>
      <c r="C27" s="32" t="n">
        <v>6200</v>
      </c>
      <c r="D27" s="63" t="s">
        <v>555</v>
      </c>
    </row>
    <row r="28" customFormat="false" ht="15" hidden="false" customHeight="true" outlineLevel="0" collapsed="false">
      <c r="B28" s="80" t="s">
        <v>556</v>
      </c>
      <c r="C28" s="42" t="n">
        <f aca="false">SUM(q_inputs!I233:I238)/3</f>
        <v>7806.66666666667</v>
      </c>
      <c r="D28" s="63" t="s">
        <v>557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5"/>
    <col collapsed="false" customWidth="true" hidden="false" outlineLevel="0" max="7" min="3" style="1" width="11"/>
    <col collapsed="false" customWidth="true" hidden="false" outlineLevel="0" max="9" min="8" style="1" width="9"/>
  </cols>
  <sheetData>
    <row r="2" customFormat="false" ht="18" hidden="false" customHeight="true" outlineLevel="0" collapsed="false">
      <c r="B2" s="16" t="s">
        <v>558</v>
      </c>
    </row>
    <row r="3" customFormat="false" ht="15" hidden="false" customHeight="true" outlineLevel="0" collapsed="false">
      <c r="B3" s="61" t="s">
        <v>559</v>
      </c>
    </row>
    <row r="5" customFormat="false" ht="273" hidden="false" customHeight="true" outlineLevel="0" collapsed="false">
      <c r="B5" s="70" t="s">
        <v>513</v>
      </c>
      <c r="C5" s="71" t="s">
        <v>560</v>
      </c>
    </row>
    <row r="7" customFormat="false" ht="15" hidden="false" customHeight="true" outlineLevel="0" collapsed="false">
      <c r="B7" s="27" t="s">
        <v>561</v>
      </c>
      <c r="C7" s="48" t="n">
        <f aca="false">SUM(Discount_v!C18:C47)</f>
        <v>19.6004413494698</v>
      </c>
    </row>
    <row r="9" customFormat="false" ht="15" hidden="false" customHeight="true" outlineLevel="0" collapsed="false">
      <c r="B9" s="29" t="s">
        <v>562</v>
      </c>
    </row>
    <row r="10" customFormat="false" ht="15" hidden="false" customHeight="true" outlineLevel="0" collapsed="false">
      <c r="B10" s="51" t="s">
        <v>259</v>
      </c>
      <c r="C10" s="51" t="s">
        <v>563</v>
      </c>
      <c r="D10" s="51" t="s">
        <v>564</v>
      </c>
      <c r="E10" s="51" t="s">
        <v>565</v>
      </c>
      <c r="F10" s="51" t="s">
        <v>566</v>
      </c>
      <c r="G10" s="51" t="s">
        <v>567</v>
      </c>
    </row>
    <row r="11" customFormat="false" ht="15" hidden="false" customHeight="true" outlineLevel="0" collapsed="false">
      <c r="B11" s="27" t="s">
        <v>264</v>
      </c>
      <c r="C11" s="77" t="n">
        <f aca="false">Premiums!H14*$C$7</f>
        <v>17501.6260897685</v>
      </c>
      <c r="D11" s="77" t="n">
        <f aca="false">EPV_cancer!F45+EPV_noncancer!C20</f>
        <v>16092.9076025567</v>
      </c>
      <c r="E11" s="77" t="n">
        <f aca="false">EPV_cancer!G45+EPV_noncancer!D20</f>
        <v>16009.9626867015</v>
      </c>
      <c r="F11" s="81" t="n">
        <f aca="false">D11/C11</f>
        <v>0.919509279881408</v>
      </c>
      <c r="G11" s="81" t="n">
        <f aca="false">E11/C11</f>
        <v>0.91477001077408</v>
      </c>
    </row>
    <row r="12" customFormat="false" ht="15" hidden="false" customHeight="true" outlineLevel="0" collapsed="false">
      <c r="B12" s="27" t="s">
        <v>265</v>
      </c>
      <c r="C12" s="77" t="n">
        <f aca="false">Premiums!H15*$C$7</f>
        <v>18021.4297943565</v>
      </c>
      <c r="D12" s="77" t="n">
        <f aca="false">EPV_cancer!F46+EPV_noncancer!C21</f>
        <v>12949.4403534563</v>
      </c>
      <c r="E12" s="77" t="n">
        <f aca="false">EPV_cancer!G46+EPV_noncancer!D21</f>
        <v>8962.50127779795</v>
      </c>
      <c r="F12" s="81" t="n">
        <f aca="false">D12/C12</f>
        <v>0.718557878105294</v>
      </c>
      <c r="G12" s="81" t="n">
        <f aca="false">E12/C12</f>
        <v>0.497324650711378</v>
      </c>
    </row>
    <row r="13" customFormat="false" ht="15" hidden="false" customHeight="true" outlineLevel="0" collapsed="false">
      <c r="B13" s="27" t="s">
        <v>266</v>
      </c>
      <c r="C13" s="77" t="n">
        <f aca="false">Premiums!H16*$C$7</f>
        <v>18115.5119128339</v>
      </c>
      <c r="D13" s="77" t="n">
        <f aca="false">EPV_cancer!F47+EPV_noncancer!C22</f>
        <v>7146.15088754215</v>
      </c>
      <c r="E13" s="77" t="n">
        <f aca="false">EPV_cancer!G47+EPV_noncancer!D22</f>
        <v>4948.2547722052</v>
      </c>
      <c r="F13" s="81" t="n">
        <f aca="false">D13/C13</f>
        <v>0.394476894825117</v>
      </c>
      <c r="G13" s="81" t="n">
        <f aca="false">E13/C13</f>
        <v>0.273150148668976</v>
      </c>
    </row>
    <row r="14" customFormat="false" ht="15" hidden="false" customHeight="true" outlineLevel="0" collapsed="false">
      <c r="B14" s="27" t="s">
        <v>267</v>
      </c>
      <c r="C14" s="77" t="n">
        <f aca="false">Premiums!H13*$C$7</f>
        <v>16892.444372627</v>
      </c>
      <c r="D14" s="77" t="n">
        <f aca="false">EPV_cancer!F48+EPV_noncancer!C23</f>
        <v>15216.7106278711</v>
      </c>
      <c r="E14" s="77" t="n">
        <f aca="false">EPV_cancer!G48+EPV_noncancer!D23</f>
        <v>13222.8128984087</v>
      </c>
      <c r="F14" s="81" t="n">
        <f aca="false">D14/C14</f>
        <v>0.900799806837232</v>
      </c>
      <c r="G14" s="81" t="n">
        <f aca="false">E14/C14</f>
        <v>0.782764921803461</v>
      </c>
    </row>
    <row r="15" customFormat="false" ht="15" hidden="false" customHeight="true" outlineLevel="0" collapsed="false">
      <c r="B15" s="27" t="s">
        <v>268</v>
      </c>
      <c r="C15" s="77" t="n">
        <f aca="false">Premiums!H17*$C$7</f>
        <v>18270.7474083217</v>
      </c>
      <c r="D15" s="77" t="n">
        <f aca="false">EPV_cancer!F49+EPV_noncancer!C24</f>
        <v>17546.2010552337</v>
      </c>
      <c r="E15" s="77" t="n">
        <f aca="false">EPV_cancer!G49+EPV_noncancer!D24</f>
        <v>12612.0395188122</v>
      </c>
      <c r="F15" s="81" t="n">
        <f aca="false">D15/C15</f>
        <v>0.960343912764177</v>
      </c>
      <c r="G15" s="81" t="n">
        <f aca="false">E15/C15</f>
        <v>0.690285910967593</v>
      </c>
    </row>
    <row r="17" customFormat="false" ht="15" hidden="false" customHeight="true" outlineLevel="0" collapsed="false">
      <c r="B17" s="61" t="s">
        <v>568</v>
      </c>
    </row>
    <row r="18" customFormat="false" ht="15" hidden="false" customHeight="true" outlineLevel="0" collapsed="false">
      <c r="B18" s="61" t="s">
        <v>569</v>
      </c>
    </row>
    <row r="19" customFormat="false" ht="15" hidden="false" customHeight="true" outlineLevel="0" collapsed="false">
      <c r="B19" s="61" t="s">
        <v>570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82" t="s">
        <v>571</v>
      </c>
    </row>
    <row r="2" customFormat="false" ht="15" hidden="false" customHeight="true" outlineLevel="0" collapsed="false">
      <c r="A2" s="61" t="s">
        <v>572</v>
      </c>
    </row>
    <row r="4" customFormat="false" ht="15" hidden="false" customHeight="true" outlineLevel="0" collapsed="false">
      <c r="A4" s="83" t="s">
        <v>573</v>
      </c>
      <c r="B4" s="83" t="s">
        <v>574</v>
      </c>
      <c r="C4" s="83" t="s">
        <v>575</v>
      </c>
      <c r="D4" s="83" t="s">
        <v>576</v>
      </c>
      <c r="E4" s="83" t="s">
        <v>577</v>
      </c>
      <c r="F4" s="83" t="s">
        <v>578</v>
      </c>
      <c r="G4" s="83" t="s">
        <v>579</v>
      </c>
      <c r="H4" s="83" t="s">
        <v>580</v>
      </c>
      <c r="I4" s="83" t="s">
        <v>581</v>
      </c>
      <c r="J4" s="83" t="s">
        <v>582</v>
      </c>
      <c r="K4" s="83" t="s">
        <v>583</v>
      </c>
      <c r="L4" s="83" t="s">
        <v>584</v>
      </c>
      <c r="M4" s="83" t="s">
        <v>585</v>
      </c>
      <c r="N4" s="83" t="s">
        <v>586</v>
      </c>
      <c r="O4" s="83" t="s">
        <v>587</v>
      </c>
      <c r="P4" s="83" t="s">
        <v>588</v>
      </c>
      <c r="Q4" s="83" t="s">
        <v>589</v>
      </c>
    </row>
    <row r="5" customFormat="false" ht="15" hidden="false" customHeight="true" outlineLevel="0" collapsed="false">
      <c r="A5" s="27" t="n">
        <v>30</v>
      </c>
      <c r="B5" s="27" t="n">
        <v>35</v>
      </c>
      <c r="C5" s="84" t="n">
        <v>27.69</v>
      </c>
      <c r="D5" s="84" t="n">
        <v>89.06</v>
      </c>
      <c r="E5" s="85" t="n">
        <f aca="false">D5-C5</f>
        <v>61.37</v>
      </c>
      <c r="F5" s="84" t="n">
        <v>29.91</v>
      </c>
      <c r="G5" s="84" t="n">
        <v>90.66</v>
      </c>
      <c r="H5" s="85" t="n">
        <f aca="false">G5-F5</f>
        <v>60.75</v>
      </c>
      <c r="I5" s="84" t="n">
        <v>27.87</v>
      </c>
      <c r="J5" s="84" t="n">
        <v>100.69</v>
      </c>
      <c r="K5" s="85" t="n">
        <f aca="false">J5-I5</f>
        <v>72.82</v>
      </c>
      <c r="L5" s="84" t="n">
        <v>28.59</v>
      </c>
      <c r="M5" s="84" t="n">
        <v>90.19</v>
      </c>
      <c r="N5" s="85" t="n">
        <f aca="false">M5-L5</f>
        <v>61.6</v>
      </c>
      <c r="O5" s="84" t="n">
        <v>28.34</v>
      </c>
      <c r="P5" s="84" t="n">
        <v>97.43</v>
      </c>
      <c r="Q5" s="85" t="n">
        <f aca="false">P5-O5</f>
        <v>69.09</v>
      </c>
    </row>
    <row r="6" customFormat="false" ht="15" hidden="false" customHeight="true" outlineLevel="0" collapsed="false">
      <c r="A6" s="27" t="n">
        <v>35</v>
      </c>
      <c r="B6" s="27" t="n">
        <v>30</v>
      </c>
      <c r="C6" s="84" t="n">
        <v>31.99</v>
      </c>
      <c r="D6" s="84" t="n">
        <v>106.4</v>
      </c>
      <c r="E6" s="85" t="n">
        <f aca="false">D6-C6</f>
        <v>74.41</v>
      </c>
      <c r="F6" s="84" t="n">
        <v>34.58</v>
      </c>
      <c r="G6" s="84" t="n">
        <v>111.2</v>
      </c>
      <c r="H6" s="85" t="n">
        <f aca="false">G6-F6</f>
        <v>76.62</v>
      </c>
      <c r="I6" s="84" t="n">
        <v>32.81</v>
      </c>
      <c r="J6" s="84" t="n">
        <v>109.83</v>
      </c>
      <c r="K6" s="85" t="n">
        <f aca="false">J6-I6</f>
        <v>77.02</v>
      </c>
      <c r="L6" s="84" t="n">
        <v>33.16</v>
      </c>
      <c r="M6" s="84" t="n">
        <v>104.98</v>
      </c>
      <c r="N6" s="85" t="n">
        <f aca="false">M6-L6</f>
        <v>71.82</v>
      </c>
      <c r="O6" s="84" t="n">
        <v>32.9</v>
      </c>
      <c r="P6" s="84" t="n">
        <v>110.58</v>
      </c>
      <c r="Q6" s="85" t="n">
        <f aca="false">P6-O6</f>
        <v>77.68</v>
      </c>
    </row>
    <row r="7" customFormat="false" ht="15" hidden="false" customHeight="true" outlineLevel="0" collapsed="false">
      <c r="A7" s="27" t="n">
        <v>40</v>
      </c>
      <c r="B7" s="27" t="n">
        <v>25</v>
      </c>
      <c r="C7" s="84" t="n">
        <v>38.97</v>
      </c>
      <c r="D7" s="84" t="n">
        <v>141.46</v>
      </c>
      <c r="E7" s="85" t="n">
        <f aca="false">D7-C7</f>
        <v>102.49</v>
      </c>
      <c r="F7" s="84" t="n">
        <v>42.33</v>
      </c>
      <c r="G7" s="84" t="n">
        <v>134.13</v>
      </c>
      <c r="H7" s="85" t="n">
        <f aca="false">G7-F7</f>
        <v>91.8</v>
      </c>
      <c r="I7" s="84" t="n">
        <v>38.82</v>
      </c>
      <c r="J7" s="84" t="n">
        <v>118.8</v>
      </c>
      <c r="K7" s="85" t="n">
        <f aca="false">J7-I7</f>
        <v>79.98</v>
      </c>
      <c r="L7" s="84" t="n">
        <v>40.83</v>
      </c>
      <c r="M7" s="84" t="n">
        <v>127.75</v>
      </c>
      <c r="N7" s="85" t="n">
        <f aca="false">M7-L7</f>
        <v>86.92</v>
      </c>
      <c r="O7" s="84" t="n">
        <v>40.07</v>
      </c>
      <c r="P7" s="84" t="n">
        <v>134.5</v>
      </c>
      <c r="Q7" s="85" t="n">
        <f aca="false">P7-O7</f>
        <v>94.43</v>
      </c>
    </row>
    <row r="8" customFormat="false" ht="15" hidden="false" customHeight="true" outlineLevel="0" collapsed="false">
      <c r="A8" s="27" t="n">
        <v>45</v>
      </c>
      <c r="B8" s="27" t="n">
        <v>20</v>
      </c>
      <c r="C8" s="84" t="n">
        <v>52.36</v>
      </c>
      <c r="D8" s="84" t="n">
        <v>174.99</v>
      </c>
      <c r="E8" s="85" t="n">
        <f aca="false">D8-C8</f>
        <v>122.63</v>
      </c>
      <c r="F8" s="84" t="n">
        <v>56.34</v>
      </c>
      <c r="G8" s="84" t="n">
        <v>179.29</v>
      </c>
      <c r="H8" s="85" t="n">
        <f aca="false">G8-F8</f>
        <v>122.95</v>
      </c>
      <c r="I8" s="84" t="n">
        <v>53.13</v>
      </c>
      <c r="J8" s="84" t="n">
        <v>167.58</v>
      </c>
      <c r="K8" s="85" t="n">
        <f aca="false">J8-I8</f>
        <v>114.45</v>
      </c>
      <c r="L8" s="84" t="n">
        <v>55.1</v>
      </c>
      <c r="M8" s="84" t="n">
        <v>167.6</v>
      </c>
      <c r="N8" s="85" t="n">
        <f aca="false">M8-L8</f>
        <v>112.5</v>
      </c>
      <c r="O8" s="84" t="n">
        <v>53.84</v>
      </c>
      <c r="P8" s="84" t="n">
        <v>179.38</v>
      </c>
      <c r="Q8" s="85" t="n">
        <f aca="false">P8-O8</f>
        <v>125.54</v>
      </c>
    </row>
    <row r="9" customFormat="false" ht="15" hidden="false" customHeight="true" outlineLevel="0" collapsed="false">
      <c r="A9" s="27" t="n">
        <v>50</v>
      </c>
      <c r="B9" s="27" t="n">
        <v>15</v>
      </c>
      <c r="C9" s="84" t="n">
        <v>70.11</v>
      </c>
      <c r="D9" s="84" t="n">
        <v>230.43</v>
      </c>
      <c r="E9" s="85" t="n">
        <f aca="false">D9-C9</f>
        <v>160.32</v>
      </c>
      <c r="F9" s="84" t="n">
        <v>75.18</v>
      </c>
      <c r="G9" s="84" t="n">
        <v>232.24</v>
      </c>
      <c r="H9" s="85" t="n">
        <f aca="false">G9-F9</f>
        <v>157.06</v>
      </c>
      <c r="I9" s="84" t="n">
        <v>70.26</v>
      </c>
      <c r="J9" s="84" t="n">
        <v>218.82</v>
      </c>
      <c r="K9" s="85" t="n">
        <f aca="false">J9-I9</f>
        <v>148.56</v>
      </c>
      <c r="L9" s="84" t="n">
        <v>78.46</v>
      </c>
      <c r="M9" s="84" t="n">
        <v>225.56</v>
      </c>
      <c r="N9" s="85" t="n">
        <f aca="false">M9-L9</f>
        <v>147.1</v>
      </c>
      <c r="O9" s="84" t="n">
        <v>72.49</v>
      </c>
      <c r="P9" s="84" t="n">
        <v>242.4</v>
      </c>
      <c r="Q9" s="85" t="n">
        <f aca="false">P9-O9</f>
        <v>169.91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3" style="1" width="18"/>
    <col collapsed="false" customWidth="true" hidden="false" outlineLevel="0" max="8" min="4" style="1" width="10"/>
  </cols>
  <sheetData>
    <row r="1" customFormat="false" ht="15" hidden="false" customHeight="true" outlineLevel="0" collapsed="false">
      <c r="A1" s="82" t="s">
        <v>590</v>
      </c>
    </row>
    <row r="3" customFormat="false" ht="15" hidden="false" customHeight="true" outlineLevel="0" collapsed="false">
      <c r="A3" s="64" t="s">
        <v>591</v>
      </c>
      <c r="B3" s="86" t="n">
        <f aca="false">Discount_v!C9</f>
        <v>0.03</v>
      </c>
      <c r="C3" s="68" t="s">
        <v>520</v>
      </c>
      <c r="D3" s="37" t="n">
        <v>30</v>
      </c>
      <c r="E3" s="37" t="n">
        <v>35</v>
      </c>
      <c r="F3" s="37" t="n">
        <v>40</v>
      </c>
      <c r="G3" s="37" t="n">
        <v>45</v>
      </c>
      <c r="H3" s="37" t="n">
        <v>50</v>
      </c>
      <c r="M3" s="1" t="n">
        <v>30</v>
      </c>
      <c r="N3" s="1" t="n">
        <v>35</v>
      </c>
      <c r="O3" s="1" t="n">
        <v>40</v>
      </c>
      <c r="P3" s="1" t="n">
        <v>45</v>
      </c>
      <c r="Q3" s="1" t="n">
        <v>50</v>
      </c>
    </row>
    <row r="4" customFormat="false" ht="15" hidden="false" customHeight="true" outlineLevel="0" collapsed="false">
      <c r="C4" s="87" t="s">
        <v>592</v>
      </c>
      <c r="D4" s="88" t="n">
        <f aca="false">65-D3</f>
        <v>35</v>
      </c>
      <c r="E4" s="88" t="n">
        <f aca="false">65-E3</f>
        <v>30</v>
      </c>
      <c r="F4" s="88" t="n">
        <f aca="false">65-F3</f>
        <v>25</v>
      </c>
      <c r="G4" s="88" t="n">
        <f aca="false">65-G3</f>
        <v>20</v>
      </c>
      <c r="H4" s="88" t="n">
        <f aca="false">65-H3</f>
        <v>15</v>
      </c>
      <c r="K4" s="68" t="s">
        <v>519</v>
      </c>
      <c r="L4" s="68" t="s">
        <v>524</v>
      </c>
      <c r="M4" s="68" t="s">
        <v>593</v>
      </c>
      <c r="N4" s="68" t="s">
        <v>594</v>
      </c>
      <c r="O4" s="68" t="s">
        <v>595</v>
      </c>
      <c r="P4" s="68" t="s">
        <v>596</v>
      </c>
      <c r="Q4" s="68" t="s">
        <v>597</v>
      </c>
    </row>
    <row r="5" customFormat="false" ht="15" hidden="false" customHeight="true" outlineLevel="0" collapsed="false">
      <c r="C5" s="87" t="s">
        <v>598</v>
      </c>
      <c r="D5" s="89" t="n">
        <f aca="false">SUMIFS($L$5:$L$39,$M$5:$M$39,"&gt;0")</f>
        <v>21.4872200730538</v>
      </c>
      <c r="E5" s="89" t="n">
        <f aca="false">SUMIFS($L$5:$L$39,$N$5:$N$39,"&gt;0")</f>
        <v>19.6004413494698</v>
      </c>
      <c r="F5" s="89" t="n">
        <f aca="false">SUMIFS($L$5:$L$39,$O$5:$O$39,"&gt;0")</f>
        <v>17.413147691278</v>
      </c>
      <c r="G5" s="89" t="n">
        <f aca="false">SUMIFS($L$5:$L$39,$P$5:$P$39,"&gt;0")</f>
        <v>14.8774748604555</v>
      </c>
      <c r="H5" s="89" t="n">
        <f aca="false">SUMIFS($L$5:$L$39,$Q$5:$Q$39,"&gt;0")</f>
        <v>11.9379350867761</v>
      </c>
      <c r="K5" s="87" t="n">
        <v>1</v>
      </c>
      <c r="L5" s="90" t="n">
        <f aca="false">(1+$B$3)^-K5</f>
        <v>0.970873786407767</v>
      </c>
      <c r="M5" s="87" t="n">
        <f aca="false">IF(K5&lt;=65-M$3,M$3+K5-1,"")</f>
        <v>30</v>
      </c>
      <c r="N5" s="87" t="n">
        <f aca="false">IF(K5&lt;=65-N$3,N$3+K5-1,"")</f>
        <v>35</v>
      </c>
      <c r="O5" s="87" t="n">
        <f aca="false">IF(K5&lt;=65-O$3,O$3+K5-1,"")</f>
        <v>40</v>
      </c>
      <c r="P5" s="87" t="n">
        <f aca="false">IF(K5&lt;=65-P$3,P$3+K5-1,"")</f>
        <v>45</v>
      </c>
      <c r="Q5" s="87" t="n">
        <f aca="false">IF(K5&lt;=65-Q$3,Q$3+K5-1,"")</f>
        <v>50</v>
      </c>
    </row>
    <row r="6" customFormat="false" ht="15" hidden="false" customHeight="true" outlineLevel="0" collapsed="false">
      <c r="C6" s="87" t="s">
        <v>599</v>
      </c>
      <c r="D6" s="89" t="n">
        <f aca="false">SUMIFS($L$5:$L$39,$M$5:$M$39,"&lt;=44")</f>
        <v>11.9379350867761</v>
      </c>
      <c r="E6" s="89" t="n">
        <f aca="false">SUMIFS($L$5:$L$39,$N$5:$N$39,"&lt;=44")</f>
        <v>8.53020283677583</v>
      </c>
      <c r="F6" s="89" t="n">
        <f aca="false">SUMIFS($L$5:$L$39,$O$5:$O$39,"&lt;=44")</f>
        <v>4.57970718719453</v>
      </c>
      <c r="G6" s="89" t="n">
        <f aca="false">SUMIFS($L$5:$L$39,$P$5:$P$39,"&lt;=44")</f>
        <v>0</v>
      </c>
      <c r="H6" s="89" t="n">
        <f aca="false">SUMIFS($L$5:$L$39,$Q$5:$Q$39,"&lt;=44")</f>
        <v>0</v>
      </c>
      <c r="K6" s="87" t="n">
        <v>2</v>
      </c>
      <c r="L6" s="90" t="n">
        <f aca="false">(1+$B$3)^-K6</f>
        <v>0.942595909133754</v>
      </c>
      <c r="M6" s="87" t="n">
        <f aca="false">IF(K6&lt;=65-M$3,M$3+K6-1,"")</f>
        <v>31</v>
      </c>
      <c r="N6" s="87" t="n">
        <f aca="false">IF(K6&lt;=65-N$3,N$3+K6-1,"")</f>
        <v>36</v>
      </c>
      <c r="O6" s="87" t="n">
        <f aca="false">IF(K6&lt;=65-O$3,O$3+K6-1,"")</f>
        <v>41</v>
      </c>
      <c r="P6" s="87" t="n">
        <f aca="false">IF(K6&lt;=65-P$3,P$3+K6-1,"")</f>
        <v>46</v>
      </c>
      <c r="Q6" s="87" t="n">
        <f aca="false">IF(K6&lt;=65-Q$3,Q$3+K6-1,"")</f>
        <v>51</v>
      </c>
    </row>
    <row r="7" customFormat="false" ht="15" hidden="false" customHeight="true" outlineLevel="0" collapsed="false">
      <c r="C7" s="87" t="s">
        <v>600</v>
      </c>
      <c r="D7" s="89" t="n">
        <f aca="false">SUMIFS($L$5:$L$39,$M$5:$M$39,"&gt;=45")</f>
        <v>9.54928498627768</v>
      </c>
      <c r="E7" s="89" t="n">
        <f aca="false">SUMIFS($L$5:$L$39,$N$5:$N$39,"&gt;=45")</f>
        <v>11.0702385126939</v>
      </c>
      <c r="F7" s="89" t="n">
        <f aca="false">SUMIFS($L$5:$L$39,$O$5:$O$39,"&gt;=45")</f>
        <v>12.8334405040835</v>
      </c>
      <c r="G7" s="89" t="n">
        <f aca="false">SUMIFS($L$5:$L$39,$P$5:$P$39,"&gt;=45")</f>
        <v>14.8774748604555</v>
      </c>
      <c r="H7" s="89" t="n">
        <f aca="false">SUMIFS($L$5:$L$39,$Q$5:$Q$39,"&gt;=45")</f>
        <v>11.9379350867761</v>
      </c>
      <c r="K7" s="87" t="n">
        <v>3</v>
      </c>
      <c r="L7" s="90" t="n">
        <f aca="false">(1+$B$3)^-K7</f>
        <v>0.91514165935316</v>
      </c>
      <c r="M7" s="87" t="n">
        <f aca="false">IF(K7&lt;=65-M$3,M$3+K7-1,"")</f>
        <v>32</v>
      </c>
      <c r="N7" s="87" t="n">
        <f aca="false">IF(K7&lt;=65-N$3,N$3+K7-1,"")</f>
        <v>37</v>
      </c>
      <c r="O7" s="87" t="n">
        <f aca="false">IF(K7&lt;=65-O$3,O$3+K7-1,"")</f>
        <v>42</v>
      </c>
      <c r="P7" s="87" t="n">
        <f aca="false">IF(K7&lt;=65-P$3,P$3+K7-1,"")</f>
        <v>47</v>
      </c>
      <c r="Q7" s="87" t="n">
        <f aca="false">IF(K7&lt;=65-Q$3,Q$3+K7-1,"")</f>
        <v>52</v>
      </c>
    </row>
    <row r="8" customFormat="false" ht="15" hidden="false" customHeight="true" outlineLevel="0" collapsed="false">
      <c r="C8" s="87" t="s">
        <v>601</v>
      </c>
      <c r="D8" s="89" t="n">
        <f aca="false">SUMIFS($L$5:$L$39,$M$5:$M$39,"&gt;="&amp;30,$M$5:$M$39,"&lt;="&amp;34)</f>
        <v>4.57970718719453</v>
      </c>
      <c r="E8" s="89" t="n">
        <f aca="false">SUMIFS($L$5:$L$39,$N$5:$N$39,"&gt;="&amp;30,$N$5:$N$39,"&lt;="&amp;34)</f>
        <v>0</v>
      </c>
      <c r="F8" s="89" t="n">
        <f aca="false">SUMIFS($L$5:$L$39,$O$5:$O$39,"&gt;="&amp;30,$O$5:$O$39,"&lt;="&amp;34)</f>
        <v>0</v>
      </c>
      <c r="G8" s="89" t="n">
        <f aca="false">SUMIFS($L$5:$L$39,$P$5:$P$39,"&gt;="&amp;30,$P$5:$P$39,"&lt;="&amp;34)</f>
        <v>0</v>
      </c>
      <c r="H8" s="89" t="n">
        <f aca="false">SUMIFS($L$5:$L$39,$Q$5:$Q$39,"&gt;="&amp;30,$Q$5:$Q$39,"&lt;="&amp;34)</f>
        <v>0</v>
      </c>
      <c r="K8" s="87" t="n">
        <v>4</v>
      </c>
      <c r="L8" s="90" t="n">
        <f aca="false">(1+$B$3)^-K8</f>
        <v>0.888487047915689</v>
      </c>
      <c r="M8" s="87" t="n">
        <f aca="false">IF(K8&lt;=65-M$3,M$3+K8-1,"")</f>
        <v>33</v>
      </c>
      <c r="N8" s="87" t="n">
        <f aca="false">IF(K8&lt;=65-N$3,N$3+K8-1,"")</f>
        <v>38</v>
      </c>
      <c r="O8" s="87" t="n">
        <f aca="false">IF(K8&lt;=65-O$3,O$3+K8-1,"")</f>
        <v>43</v>
      </c>
      <c r="P8" s="87" t="n">
        <f aca="false">IF(K8&lt;=65-P$3,P$3+K8-1,"")</f>
        <v>48</v>
      </c>
      <c r="Q8" s="87" t="n">
        <f aca="false">IF(K8&lt;=65-Q$3,Q$3+K8-1,"")</f>
        <v>53</v>
      </c>
    </row>
    <row r="9" customFormat="false" ht="15" hidden="false" customHeight="true" outlineLevel="0" collapsed="false">
      <c r="C9" s="87" t="s">
        <v>602</v>
      </c>
      <c r="D9" s="89" t="n">
        <f aca="false">SUMIFS($L$5:$L$39,$M$5:$M$39,"&gt;="&amp;35,$M$5:$M$39,"&lt;="&amp;39)</f>
        <v>3.9504956495813</v>
      </c>
      <c r="E9" s="89" t="n">
        <f aca="false">SUMIFS($L$5:$L$39,$N$5:$N$39,"&gt;="&amp;35,$N$5:$N$39,"&lt;="&amp;39)</f>
        <v>4.57970718719453</v>
      </c>
      <c r="F9" s="89" t="n">
        <f aca="false">SUMIFS($L$5:$L$39,$O$5:$O$39,"&gt;="&amp;35,$O$5:$O$39,"&lt;="&amp;39)</f>
        <v>0</v>
      </c>
      <c r="G9" s="89" t="n">
        <f aca="false">SUMIFS($L$5:$L$39,$P$5:$P$39,"&gt;="&amp;35,$P$5:$P$39,"&lt;="&amp;39)</f>
        <v>0</v>
      </c>
      <c r="H9" s="89" t="n">
        <f aca="false">SUMIFS($L$5:$L$39,$Q$5:$Q$39,"&gt;="&amp;35,$Q$5:$Q$39,"&lt;="&amp;39)</f>
        <v>0</v>
      </c>
      <c r="K9" s="87" t="n">
        <v>5</v>
      </c>
      <c r="L9" s="90" t="n">
        <f aca="false">(1+$B$3)^-K9</f>
        <v>0.862608784384164</v>
      </c>
      <c r="M9" s="87" t="n">
        <f aca="false">IF(K9&lt;=65-M$3,M$3+K9-1,"")</f>
        <v>34</v>
      </c>
      <c r="N9" s="87" t="n">
        <f aca="false">IF(K9&lt;=65-N$3,N$3+K9-1,"")</f>
        <v>39</v>
      </c>
      <c r="O9" s="87" t="n">
        <f aca="false">IF(K9&lt;=65-O$3,O$3+K9-1,"")</f>
        <v>44</v>
      </c>
      <c r="P9" s="87" t="n">
        <f aca="false">IF(K9&lt;=65-P$3,P$3+K9-1,"")</f>
        <v>49</v>
      </c>
      <c r="Q9" s="87" t="n">
        <f aca="false">IF(K9&lt;=65-Q$3,Q$3+K9-1,"")</f>
        <v>54</v>
      </c>
    </row>
    <row r="10" customFormat="false" ht="15" hidden="false" customHeight="true" outlineLevel="0" collapsed="false">
      <c r="C10" s="87" t="s">
        <v>603</v>
      </c>
      <c r="D10" s="89" t="n">
        <f aca="false">SUMIFS($L$5:$L$39,$M$5:$M$39,"&gt;="&amp;40,$M$5:$M$39,"&lt;="&amp;44)</f>
        <v>3.40773225000025</v>
      </c>
      <c r="E10" s="89" t="n">
        <f aca="false">SUMIFS($L$5:$L$39,$N$5:$N$39,"&gt;="&amp;40,$N$5:$N$39,"&lt;="&amp;44)</f>
        <v>3.9504956495813</v>
      </c>
      <c r="F10" s="89" t="n">
        <f aca="false">SUMIFS($L$5:$L$39,$O$5:$O$39,"&gt;="&amp;40,$O$5:$O$39,"&lt;="&amp;44)</f>
        <v>4.57970718719453</v>
      </c>
      <c r="G10" s="89" t="n">
        <f aca="false">SUMIFS($L$5:$L$39,$P$5:$P$39,"&gt;="&amp;40,$P$5:$P$39,"&lt;="&amp;44)</f>
        <v>0</v>
      </c>
      <c r="H10" s="89" t="n">
        <f aca="false">SUMIFS($L$5:$L$39,$Q$5:$Q$39,"&gt;="&amp;40,$Q$5:$Q$39,"&lt;="&amp;44)</f>
        <v>0</v>
      </c>
      <c r="K10" s="87" t="n">
        <v>6</v>
      </c>
      <c r="L10" s="90" t="n">
        <f aca="false">(1+$B$3)^-K10</f>
        <v>0.837484256683654</v>
      </c>
      <c r="M10" s="87" t="n">
        <f aca="false">IF(K10&lt;=65-M$3,M$3+K10-1,"")</f>
        <v>35</v>
      </c>
      <c r="N10" s="87" t="n">
        <f aca="false">IF(K10&lt;=65-N$3,N$3+K10-1,"")</f>
        <v>40</v>
      </c>
      <c r="O10" s="87" t="n">
        <f aca="false">IF(K10&lt;=65-O$3,O$3+K10-1,"")</f>
        <v>45</v>
      </c>
      <c r="P10" s="87" t="n">
        <f aca="false">IF(K10&lt;=65-P$3,P$3+K10-1,"")</f>
        <v>50</v>
      </c>
      <c r="Q10" s="87" t="n">
        <f aca="false">IF(K10&lt;=65-Q$3,Q$3+K10-1,"")</f>
        <v>55</v>
      </c>
    </row>
    <row r="11" customFormat="false" ht="15" hidden="false" customHeight="true" outlineLevel="0" collapsed="false">
      <c r="C11" s="87" t="s">
        <v>604</v>
      </c>
      <c r="D11" s="89" t="n">
        <f aca="false">SUMIFS($L$5:$L$39,$M$5:$M$39,"&gt;="&amp;45,$M$5:$M$39,"&lt;="&amp;49)</f>
        <v>2.93953977367943</v>
      </c>
      <c r="E11" s="89" t="n">
        <f aca="false">SUMIFS($L$5:$L$39,$N$5:$N$39,"&gt;="&amp;45,$N$5:$N$39,"&lt;="&amp;49)</f>
        <v>3.40773225000025</v>
      </c>
      <c r="F11" s="89" t="n">
        <f aca="false">SUMIFS($L$5:$L$39,$O$5:$O$39,"&gt;="&amp;45,$O$5:$O$39,"&lt;="&amp;49)</f>
        <v>3.9504956495813</v>
      </c>
      <c r="G11" s="89" t="n">
        <f aca="false">SUMIFS($L$5:$L$39,$P$5:$P$39,"&gt;="&amp;45,$P$5:$P$39,"&lt;="&amp;49)</f>
        <v>4.57970718719453</v>
      </c>
      <c r="H11" s="89" t="n">
        <f aca="false">SUMIFS($L$5:$L$39,$Q$5:$Q$39,"&gt;="&amp;45,$Q$5:$Q$39,"&lt;="&amp;49)</f>
        <v>0</v>
      </c>
      <c r="K11" s="87" t="n">
        <v>7</v>
      </c>
      <c r="L11" s="90" t="n">
        <f aca="false">(1+$B$3)^-K11</f>
        <v>0.813091511343354</v>
      </c>
      <c r="M11" s="87" t="n">
        <f aca="false">IF(K11&lt;=65-M$3,M$3+K11-1,"")</f>
        <v>36</v>
      </c>
      <c r="N11" s="87" t="n">
        <f aca="false">IF(K11&lt;=65-N$3,N$3+K11-1,"")</f>
        <v>41</v>
      </c>
      <c r="O11" s="87" t="n">
        <f aca="false">IF(K11&lt;=65-O$3,O$3+K11-1,"")</f>
        <v>46</v>
      </c>
      <c r="P11" s="87" t="n">
        <f aca="false">IF(K11&lt;=65-P$3,P$3+K11-1,"")</f>
        <v>51</v>
      </c>
      <c r="Q11" s="87" t="n">
        <f aca="false">IF(K11&lt;=65-Q$3,Q$3+K11-1,"")</f>
        <v>56</v>
      </c>
    </row>
    <row r="12" customFormat="false" ht="15" hidden="false" customHeight="true" outlineLevel="0" collapsed="false">
      <c r="C12" s="87" t="s">
        <v>605</v>
      </c>
      <c r="D12" s="89" t="n">
        <f aca="false">SUMIFS($L$5:$L$39,$M$5:$M$39,"&gt;="&amp;50,$M$5:$M$39,"&lt;="&amp;54)</f>
        <v>2.53567283082251</v>
      </c>
      <c r="E12" s="89" t="n">
        <f aca="false">SUMIFS($L$5:$L$39,$N$5:$N$39,"&gt;="&amp;50,$N$5:$N$39,"&lt;="&amp;54)</f>
        <v>2.93953977367943</v>
      </c>
      <c r="F12" s="89" t="n">
        <f aca="false">SUMIFS($L$5:$L$39,$O$5:$O$39,"&gt;="&amp;50,$O$5:$O$39,"&lt;="&amp;54)</f>
        <v>3.40773225000025</v>
      </c>
      <c r="G12" s="89" t="n">
        <f aca="false">SUMIFS($L$5:$L$39,$P$5:$P$39,"&gt;="&amp;50,$P$5:$P$39,"&lt;="&amp;54)</f>
        <v>3.9504956495813</v>
      </c>
      <c r="H12" s="89" t="n">
        <f aca="false">SUMIFS($L$5:$L$39,$Q$5:$Q$39,"&gt;="&amp;50,$Q$5:$Q$39,"&lt;="&amp;54)</f>
        <v>4.57970718719453</v>
      </c>
      <c r="K12" s="87" t="n">
        <v>8</v>
      </c>
      <c r="L12" s="90" t="n">
        <f aca="false">(1+$B$3)^-K12</f>
        <v>0.789409234313936</v>
      </c>
      <c r="M12" s="87" t="n">
        <f aca="false">IF(K12&lt;=65-M$3,M$3+K12-1,"")</f>
        <v>37</v>
      </c>
      <c r="N12" s="87" t="n">
        <f aca="false">IF(K12&lt;=65-N$3,N$3+K12-1,"")</f>
        <v>42</v>
      </c>
      <c r="O12" s="87" t="n">
        <f aca="false">IF(K12&lt;=65-O$3,O$3+K12-1,"")</f>
        <v>47</v>
      </c>
      <c r="P12" s="87" t="n">
        <f aca="false">IF(K12&lt;=65-P$3,P$3+K12-1,"")</f>
        <v>52</v>
      </c>
      <c r="Q12" s="87" t="n">
        <f aca="false">IF(K12&lt;=65-Q$3,Q$3+K12-1,"")</f>
        <v>57</v>
      </c>
    </row>
    <row r="13" customFormat="false" ht="15" hidden="false" customHeight="true" outlineLevel="0" collapsed="false">
      <c r="C13" s="87" t="s">
        <v>606</v>
      </c>
      <c r="D13" s="89" t="n">
        <f aca="false">SUMIFS($L$5:$L$39,$M$5:$M$39,"&gt;="&amp;55,$M$5:$M$39,"&lt;="&amp;59)</f>
        <v>2.18729365819176</v>
      </c>
      <c r="E13" s="89" t="n">
        <f aca="false">SUMIFS($L$5:$L$39,$N$5:$N$39,"&gt;="&amp;55,$N$5:$N$39,"&lt;="&amp;59)</f>
        <v>2.53567283082251</v>
      </c>
      <c r="F13" s="89" t="n">
        <f aca="false">SUMIFS($L$5:$L$39,$O$5:$O$39,"&gt;="&amp;55,$O$5:$O$39,"&lt;="&amp;59)</f>
        <v>2.93953977367943</v>
      </c>
      <c r="G13" s="89" t="n">
        <f aca="false">SUMIFS($L$5:$L$39,$P$5:$P$39,"&gt;="&amp;55,$P$5:$P$39,"&lt;="&amp;59)</f>
        <v>3.40773225000025</v>
      </c>
      <c r="H13" s="89" t="n">
        <f aca="false">SUMIFS($L$5:$L$39,$Q$5:$Q$39,"&gt;="&amp;55,$Q$5:$Q$39,"&lt;="&amp;59)</f>
        <v>3.9504956495813</v>
      </c>
      <c r="K13" s="87" t="n">
        <v>9</v>
      </c>
      <c r="L13" s="90" t="n">
        <f aca="false">(1+$B$3)^-K13</f>
        <v>0.766416732343627</v>
      </c>
      <c r="M13" s="87" t="n">
        <f aca="false">IF(K13&lt;=65-M$3,M$3+K13-1,"")</f>
        <v>38</v>
      </c>
      <c r="N13" s="87" t="n">
        <f aca="false">IF(K13&lt;=65-N$3,N$3+K13-1,"")</f>
        <v>43</v>
      </c>
      <c r="O13" s="87" t="n">
        <f aca="false">IF(K13&lt;=65-O$3,O$3+K13-1,"")</f>
        <v>48</v>
      </c>
      <c r="P13" s="87" t="n">
        <f aca="false">IF(K13&lt;=65-P$3,P$3+K13-1,"")</f>
        <v>53</v>
      </c>
      <c r="Q13" s="87" t="n">
        <f aca="false">IF(K13&lt;=65-Q$3,Q$3+K13-1,"")</f>
        <v>58</v>
      </c>
    </row>
    <row r="14" customFormat="false" ht="15" hidden="false" customHeight="true" outlineLevel="0" collapsed="false">
      <c r="C14" s="87" t="s">
        <v>607</v>
      </c>
      <c r="D14" s="89" t="n">
        <f aca="false">SUMIFS($L$5:$L$39,$M$5:$M$39,"&gt;="&amp;60,$M$5:$M$39,"&lt;="&amp;64)</f>
        <v>1.88677872358398</v>
      </c>
      <c r="E14" s="89" t="n">
        <f aca="false">SUMIFS($L$5:$L$39,$N$5:$N$39,"&gt;="&amp;60,$N$5:$N$39,"&lt;="&amp;64)</f>
        <v>2.18729365819176</v>
      </c>
      <c r="F14" s="89" t="n">
        <f aca="false">SUMIFS($L$5:$L$39,$O$5:$O$39,"&gt;="&amp;60,$O$5:$O$39,"&lt;="&amp;64)</f>
        <v>2.53567283082251</v>
      </c>
      <c r="G14" s="89" t="n">
        <f aca="false">SUMIFS($L$5:$L$39,$P$5:$P$39,"&gt;="&amp;60,$P$5:$P$39,"&lt;="&amp;64)</f>
        <v>2.93953977367943</v>
      </c>
      <c r="H14" s="89" t="n">
        <f aca="false">SUMIFS($L$5:$L$39,$Q$5:$Q$39,"&gt;="&amp;60,$Q$5:$Q$39,"&lt;="&amp;64)</f>
        <v>3.40773225000025</v>
      </c>
      <c r="K14" s="87" t="n">
        <v>10</v>
      </c>
      <c r="L14" s="90" t="n">
        <f aca="false">(1+$B$3)^-K14</f>
        <v>0.744093914896725</v>
      </c>
      <c r="M14" s="87" t="n">
        <f aca="false">IF(K14&lt;=65-M$3,M$3+K14-1,"")</f>
        <v>39</v>
      </c>
      <c r="N14" s="87" t="n">
        <f aca="false">IF(K14&lt;=65-N$3,N$3+K14-1,"")</f>
        <v>44</v>
      </c>
      <c r="O14" s="87" t="n">
        <f aca="false">IF(K14&lt;=65-O$3,O$3+K14-1,"")</f>
        <v>49</v>
      </c>
      <c r="P14" s="87" t="n">
        <f aca="false">IF(K14&lt;=65-P$3,P$3+K14-1,"")</f>
        <v>54</v>
      </c>
      <c r="Q14" s="87" t="n">
        <f aca="false">IF(K14&lt;=65-Q$3,Q$3+K14-1,"")</f>
        <v>59</v>
      </c>
    </row>
    <row r="15" customFormat="false" ht="15" hidden="false" customHeight="true" outlineLevel="0" collapsed="false">
      <c r="D15" s="89"/>
      <c r="E15" s="89"/>
      <c r="F15" s="89"/>
      <c r="G15" s="89"/>
      <c r="H15" s="89"/>
      <c r="K15" s="87" t="n">
        <v>11</v>
      </c>
      <c r="L15" s="90" t="n">
        <f aca="false">(1+$B$3)^-K15</f>
        <v>0.722421276598762</v>
      </c>
      <c r="M15" s="87" t="n">
        <f aca="false">IF(K15&lt;=65-M$3,M$3+K15-1,"")</f>
        <v>40</v>
      </c>
      <c r="N15" s="87" t="n">
        <f aca="false">IF(K15&lt;=65-N$3,N$3+K15-1,"")</f>
        <v>45</v>
      </c>
      <c r="O15" s="87" t="n">
        <f aca="false">IF(K15&lt;=65-O$3,O$3+K15-1,"")</f>
        <v>50</v>
      </c>
      <c r="P15" s="87" t="n">
        <f aca="false">IF(K15&lt;=65-P$3,P$3+K15-1,"")</f>
        <v>55</v>
      </c>
      <c r="Q15" s="87" t="n">
        <f aca="false">IF(K15&lt;=65-Q$3,Q$3+K15-1,"")</f>
        <v>60</v>
      </c>
    </row>
    <row r="16" customFormat="false" ht="15" hidden="false" customHeight="true" outlineLevel="0" collapsed="false">
      <c r="C16" s="68" t="s">
        <v>608</v>
      </c>
      <c r="D16" s="91" t="n">
        <f aca="false">SUMPRODUCT(D8:D14,q_inputs!$H$10:$H$16)</f>
        <v>0.0743733009097454</v>
      </c>
      <c r="E16" s="91" t="n">
        <f aca="false">SUMPRODUCT(E8:E14,q_inputs!$H$10:$H$16)</f>
        <v>0.0828668481206803</v>
      </c>
      <c r="F16" s="91" t="n">
        <f aca="false">SUMPRODUCT(F8:F14,q_inputs!$H$10:$H$16)</f>
        <v>0.0912802985674601</v>
      </c>
      <c r="G16" s="91" t="n">
        <f aca="false">SUMPRODUCT(G8:G14,q_inputs!$H$10:$H$16)</f>
        <v>0.0986685806064263</v>
      </c>
      <c r="H16" s="91" t="n">
        <f aca="false">SUMPRODUCT(H8:H14,q_inputs!$H$10:$H$16)</f>
        <v>0.102377640216693</v>
      </c>
      <c r="K16" s="87" t="n">
        <v>12</v>
      </c>
      <c r="L16" s="90" t="n">
        <f aca="false">(1+$B$3)^-K16</f>
        <v>0.701379880192973</v>
      </c>
      <c r="M16" s="87" t="n">
        <f aca="false">IF(K16&lt;=65-M$3,M$3+K16-1,"")</f>
        <v>41</v>
      </c>
      <c r="N16" s="87" t="n">
        <f aca="false">IF(K16&lt;=65-N$3,N$3+K16-1,"")</f>
        <v>46</v>
      </c>
      <c r="O16" s="87" t="n">
        <f aca="false">IF(K16&lt;=65-O$3,O$3+K16-1,"")</f>
        <v>51</v>
      </c>
      <c r="P16" s="87" t="n">
        <f aca="false">IF(K16&lt;=65-P$3,P$3+K16-1,"")</f>
        <v>56</v>
      </c>
      <c r="Q16" s="87" t="n">
        <f aca="false">IF(K16&lt;=65-Q$3,Q$3+K16-1,"")</f>
        <v>61</v>
      </c>
    </row>
    <row r="17" customFormat="false" ht="15" hidden="false" customHeight="true" outlineLevel="0" collapsed="false">
      <c r="C17" s="87" t="s">
        <v>609</v>
      </c>
      <c r="D17" s="91" t="n">
        <f aca="false">SUMPRODUCT(D8:D14,q_inputs!$H$24:$H$30)</f>
        <v>0.0834378221416747</v>
      </c>
      <c r="E17" s="91" t="n">
        <f aca="false">SUMPRODUCT(E8:E14,q_inputs!$H$24:$H$30)</f>
        <v>0.0904174323129822</v>
      </c>
      <c r="F17" s="91" t="n">
        <f aca="false">SUMPRODUCT(F8:F14,q_inputs!$H$24:$H$30)</f>
        <v>0.0957466606966677</v>
      </c>
      <c r="G17" s="91" t="n">
        <f aca="false">SUMPRODUCT(G8:G14,q_inputs!$H$24:$H$30)</f>
        <v>0.0967607120574391</v>
      </c>
      <c r="H17" s="91" t="n">
        <f aca="false">SUMPRODUCT(H8:H14,q_inputs!$H$24:$H$30)</f>
        <v>0.0910457442580162</v>
      </c>
      <c r="K17" s="87" t="n">
        <v>13</v>
      </c>
      <c r="L17" s="90" t="n">
        <f aca="false">(1+$B$3)^-K17</f>
        <v>0.680951339993178</v>
      </c>
      <c r="M17" s="87" t="n">
        <f aca="false">IF(K17&lt;=65-M$3,M$3+K17-1,"")</f>
        <v>42</v>
      </c>
      <c r="N17" s="87" t="n">
        <f aca="false">IF(K17&lt;=65-N$3,N$3+K17-1,"")</f>
        <v>47</v>
      </c>
      <c r="O17" s="87" t="n">
        <f aca="false">IF(K17&lt;=65-O$3,O$3+K17-1,"")</f>
        <v>52</v>
      </c>
      <c r="P17" s="87" t="n">
        <f aca="false">IF(K17&lt;=65-P$3,P$3+K17-1,"")</f>
        <v>57</v>
      </c>
      <c r="Q17" s="87" t="n">
        <f aca="false">IF(K17&lt;=65-Q$3,Q$3+K17-1,"")</f>
        <v>62</v>
      </c>
    </row>
    <row r="18" customFormat="false" ht="15" hidden="false" customHeight="true" outlineLevel="0" collapsed="false">
      <c r="C18" s="87" t="s">
        <v>610</v>
      </c>
      <c r="D18" s="91" t="n">
        <f aca="false">SUMPRODUCT(D8:D14,q_inputs!$H$203:$H$209)</f>
        <v>0.00486799520510417</v>
      </c>
      <c r="E18" s="91" t="n">
        <f aca="false">SUMPRODUCT(E8:E14,q_inputs!$H$203:$H$209)</f>
        <v>0.00556317328962796</v>
      </c>
      <c r="F18" s="91" t="n">
        <f aca="false">SUMPRODUCT(F8:F14,q_inputs!$H$203:$H$209)</f>
        <v>0.00610469083225985</v>
      </c>
      <c r="G18" s="91" t="n">
        <f aca="false">SUMPRODUCT(G8:G14,q_inputs!$H$203:$H$209)</f>
        <v>0.00627008249836503</v>
      </c>
      <c r="H18" s="91" t="n">
        <f aca="false">SUMPRODUCT(H8:H14,q_inputs!$H$203:$H$209)</f>
        <v>0.00591455627294465</v>
      </c>
      <c r="K18" s="87" t="n">
        <v>14</v>
      </c>
      <c r="L18" s="90" t="n">
        <f aca="false">(1+$B$3)^-K18</f>
        <v>0.661117805818619</v>
      </c>
      <c r="M18" s="87" t="n">
        <f aca="false">IF(K18&lt;=65-M$3,M$3+K18-1,"")</f>
        <v>43</v>
      </c>
      <c r="N18" s="87" t="n">
        <f aca="false">IF(K18&lt;=65-N$3,N$3+K18-1,"")</f>
        <v>48</v>
      </c>
      <c r="O18" s="87" t="n">
        <f aca="false">IF(K18&lt;=65-O$3,O$3+K18-1,"")</f>
        <v>53</v>
      </c>
      <c r="P18" s="87" t="n">
        <f aca="false">IF(K18&lt;=65-P$3,P$3+K18-1,"")</f>
        <v>58</v>
      </c>
      <c r="Q18" s="87" t="n">
        <f aca="false">IF(K18&lt;=65-Q$3,Q$3+K18-1,"")</f>
        <v>63</v>
      </c>
    </row>
    <row r="19" customFormat="false" ht="15" hidden="false" customHeight="true" outlineLevel="0" collapsed="false">
      <c r="C19" s="87" t="s">
        <v>611</v>
      </c>
      <c r="D19" s="91" t="n">
        <f aca="false">q_inputs!$H$227*D6+q_inputs!$H$228*D7</f>
        <v>0.0334922344573937</v>
      </c>
      <c r="E19" s="91" t="n">
        <f aca="false">q_inputs!$H$227*E6+q_inputs!$H$228*E7</f>
        <v>0.037469837395554</v>
      </c>
      <c r="F19" s="91" t="n">
        <f aca="false">q_inputs!$H$227*F6+q_inputs!$H$228*F7</f>
        <v>0.0420809693596227</v>
      </c>
      <c r="G19" s="91" t="n">
        <f aca="false">q_inputs!$H$227*G6+q_inputs!$H$228*G7</f>
        <v>0.0474265350987435</v>
      </c>
      <c r="H19" s="91" t="n">
        <f aca="false">q_inputs!$H$227*H6+q_inputs!$H$228*H7</f>
        <v>0.038055846352287</v>
      </c>
      <c r="K19" s="87" t="n">
        <v>15</v>
      </c>
      <c r="L19" s="90" t="n">
        <f aca="false">(1+$B$3)^-K19</f>
        <v>0.641861947396717</v>
      </c>
      <c r="M19" s="87" t="n">
        <f aca="false">IF(K19&lt;=65-M$3,M$3+K19-1,"")</f>
        <v>44</v>
      </c>
      <c r="N19" s="87" t="n">
        <f aca="false">IF(K19&lt;=65-N$3,N$3+K19-1,"")</f>
        <v>49</v>
      </c>
      <c r="O19" s="87" t="n">
        <f aca="false">IF(K19&lt;=65-O$3,O$3+K19-1,"")</f>
        <v>54</v>
      </c>
      <c r="P19" s="87" t="n">
        <f aca="false">IF(K19&lt;=65-P$3,P$3+K19-1,"")</f>
        <v>59</v>
      </c>
      <c r="Q19" s="87" t="n">
        <f aca="false">IF(K19&lt;=65-Q$3,Q$3+K19-1,"")</f>
        <v>64</v>
      </c>
    </row>
    <row r="20" customFormat="false" ht="15" hidden="false" customHeight="true" outlineLevel="0" collapsed="false">
      <c r="C20" s="87" t="s">
        <v>612</v>
      </c>
      <c r="D20" s="91" t="n">
        <f aca="false">q_inputs!$H$230*D6+q_inputs!$H$231*D7</f>
        <v>0.00824788838163629</v>
      </c>
      <c r="E20" s="91" t="n">
        <f aca="false">q_inputs!$H$230*E6+q_inputs!$H$231*E7</f>
        <v>0.00925311133860253</v>
      </c>
      <c r="F20" s="91" t="n">
        <f aca="false">q_inputs!$H$230*F6+q_inputs!$H$231*F7</f>
        <v>0.0104184402515047</v>
      </c>
      <c r="G20" s="91" t="n">
        <f aca="false">q_inputs!$H$230*G6+q_inputs!$H$231*G7</f>
        <v>0.0117693758482643</v>
      </c>
      <c r="H20" s="91" t="n">
        <f aca="false">q_inputs!$H$230*H6+q_inputs!$H$231*H7</f>
        <v>0.0094439443659828</v>
      </c>
      <c r="K20" s="87" t="n">
        <v>16</v>
      </c>
      <c r="L20" s="90" t="n">
        <f aca="false">(1+$B$3)^-K20</f>
        <v>0.623166939220114</v>
      </c>
      <c r="M20" s="87" t="n">
        <f aca="false">IF(K20&lt;=65-M$3,M$3+K20-1,"")</f>
        <v>45</v>
      </c>
      <c r="N20" s="87" t="n">
        <f aca="false">IF(K20&lt;=65-N$3,N$3+K20-1,"")</f>
        <v>50</v>
      </c>
      <c r="O20" s="87" t="n">
        <f aca="false">IF(K20&lt;=65-O$3,O$3+K20-1,"")</f>
        <v>55</v>
      </c>
      <c r="P20" s="87" t="n">
        <f aca="false">IF(K20&lt;=65-P$3,P$3+K20-1,"")</f>
        <v>60</v>
      </c>
      <c r="Q20" s="87" t="str">
        <f aca="false">IF(K20&lt;=65-Q$3,Q$3+K20-1,"")</f>
        <v/>
      </c>
    </row>
    <row r="21" customFormat="false" ht="15" hidden="false" customHeight="true" outlineLevel="0" collapsed="false">
      <c r="C21" s="87" t="s">
        <v>613</v>
      </c>
      <c r="D21" s="91" t="n">
        <f aca="false">(q_inputs!$H$233*D6+q_inputs!$H$234*D7)*EPV_noncancer!$C$10</f>
        <v>0.0182587290050525</v>
      </c>
      <c r="E21" s="91" t="n">
        <f aca="false">(q_inputs!$H$233*E6+q_inputs!$H$234*E7)*EPV_noncancer!$C$10</f>
        <v>0.0201255295909663</v>
      </c>
      <c r="F21" s="91" t="n">
        <f aca="false">(q_inputs!$H$233*F6+q_inputs!$H$234*F7)*EPV_noncancer!$C$10</f>
        <v>0.0222896631121041</v>
      </c>
      <c r="G21" s="91" t="n">
        <f aca="false">(q_inputs!$H$233*G6+q_inputs!$H$234*G7)*EPV_noncancer!$C$10</f>
        <v>0.0247984869964828</v>
      </c>
      <c r="H21" s="91" t="n">
        <f aca="false">(q_inputs!$H$233*H6+q_inputs!$H$234*H7)*EPV_noncancer!$C$10</f>
        <v>0.0198987214423838</v>
      </c>
      <c r="K21" s="87" t="n">
        <v>17</v>
      </c>
      <c r="L21" s="90" t="n">
        <f aca="false">(1+$B$3)^-K21</f>
        <v>0.605016445844771</v>
      </c>
      <c r="M21" s="87" t="n">
        <f aca="false">IF(K21&lt;=65-M$3,M$3+K21-1,"")</f>
        <v>46</v>
      </c>
      <c r="N21" s="87" t="n">
        <f aca="false">IF(K21&lt;=65-N$3,N$3+K21-1,"")</f>
        <v>51</v>
      </c>
      <c r="O21" s="87" t="n">
        <f aca="false">IF(K21&lt;=65-O$3,O$3+K21-1,"")</f>
        <v>56</v>
      </c>
      <c r="P21" s="87" t="n">
        <f aca="false">IF(K21&lt;=65-P$3,P$3+K21-1,"")</f>
        <v>61</v>
      </c>
      <c r="Q21" s="87" t="str">
        <f aca="false">IF(K21&lt;=65-Q$3,Q$3+K21-1,"")</f>
        <v/>
      </c>
    </row>
    <row r="22" customFormat="false" ht="15" hidden="false" customHeight="true" outlineLevel="0" collapsed="false">
      <c r="C22" s="87" t="s">
        <v>614</v>
      </c>
      <c r="D22" s="91" t="n">
        <f aca="false">(q_inputs!$H$236*D6+q_inputs!$H$237*D7)*EPV_noncancer!$C$10</f>
        <v>0.0115652690357927</v>
      </c>
      <c r="E22" s="91" t="n">
        <f aca="false">(q_inputs!$H$236*E6+q_inputs!$H$237*E7)*EPV_noncancer!$C$10</f>
        <v>0.0125008711280831</v>
      </c>
      <c r="F22" s="91" t="n">
        <f aca="false">(q_inputs!$H$236*F6+q_inputs!$H$237*F7)*EPV_noncancer!$C$10</f>
        <v>0.0135854903775361</v>
      </c>
      <c r="G22" s="91" t="n">
        <f aca="false">(q_inputs!$H$236*G6+q_inputs!$H$237*G7)*EPV_noncancer!$C$10</f>
        <v>0.0148428613539138</v>
      </c>
      <c r="H22" s="91" t="n">
        <f aca="false">(q_inputs!$H$236*H6+q_inputs!$H$237*H7)*EPV_noncancer!$C$10</f>
        <v>0.0119101606292088</v>
      </c>
      <c r="K22" s="87" t="n">
        <v>18</v>
      </c>
      <c r="L22" s="90" t="n">
        <f aca="false">(1+$B$3)^-K22</f>
        <v>0.587394607616282</v>
      </c>
      <c r="M22" s="87" t="n">
        <f aca="false">IF(K22&lt;=65-M$3,M$3+K22-1,"")</f>
        <v>47</v>
      </c>
      <c r="N22" s="87" t="n">
        <f aca="false">IF(K22&lt;=65-N$3,N$3+K22-1,"")</f>
        <v>52</v>
      </c>
      <c r="O22" s="87" t="n">
        <f aca="false">IF(K22&lt;=65-O$3,O$3+K22-1,"")</f>
        <v>57</v>
      </c>
      <c r="P22" s="87" t="n">
        <f aca="false">IF(K22&lt;=65-P$3,P$3+K22-1,"")</f>
        <v>62</v>
      </c>
      <c r="Q22" s="87" t="str">
        <f aca="false">IF(K22&lt;=65-Q$3,Q$3+K22-1,"")</f>
        <v/>
      </c>
    </row>
    <row r="23" customFormat="false" ht="15" hidden="false" customHeight="true" outlineLevel="0" collapsed="false">
      <c r="C23" s="87" t="s">
        <v>615</v>
      </c>
      <c r="D23" s="91" t="n">
        <f aca="false">q_inputs!$H$240*D5</f>
        <v>0.000796276342202245</v>
      </c>
      <c r="E23" s="91" t="n">
        <f aca="false">q_inputs!$H$240*E5</f>
        <v>0.000726355838039653</v>
      </c>
      <c r="F23" s="91" t="n">
        <f aca="false">q_inputs!$H$240*F5</f>
        <v>0.000645298810301976</v>
      </c>
      <c r="G23" s="91" t="n">
        <f aca="false">q_inputs!$H$240*G5</f>
        <v>0.00055133149950587</v>
      </c>
      <c r="H23" s="91" t="n">
        <f aca="false">q_inputs!$H$240*H5</f>
        <v>0.000442397632268255</v>
      </c>
      <c r="K23" s="87" t="n">
        <v>19</v>
      </c>
      <c r="L23" s="90" t="n">
        <f aca="false">(1+$B$3)^-K23</f>
        <v>0.570286026811925</v>
      </c>
      <c r="M23" s="87" t="n">
        <f aca="false">IF(K23&lt;=65-M$3,M$3+K23-1,"")</f>
        <v>48</v>
      </c>
      <c r="N23" s="87" t="n">
        <f aca="false">IF(K23&lt;=65-N$3,N$3+K23-1,"")</f>
        <v>53</v>
      </c>
      <c r="O23" s="87" t="n">
        <f aca="false">IF(K23&lt;=65-O$3,O$3+K23-1,"")</f>
        <v>58</v>
      </c>
      <c r="P23" s="87" t="n">
        <f aca="false">IF(K23&lt;=65-P$3,P$3+K23-1,"")</f>
        <v>63</v>
      </c>
      <c r="Q23" s="87" t="str">
        <f aca="false">IF(K23&lt;=65-Q$3,Q$3+K23-1,"")</f>
        <v/>
      </c>
    </row>
    <row r="24" customFormat="false" ht="15" hidden="false" customHeight="true" outlineLevel="0" collapsed="false">
      <c r="C24" s="87" t="s">
        <v>616</v>
      </c>
      <c r="D24" s="91" t="n">
        <f aca="false">q_inputs!$H$239*D5</f>
        <v>0.00191101364721917</v>
      </c>
      <c r="E24" s="91" t="n">
        <f aca="false">q_inputs!$H$239*E5</f>
        <v>0.00174320879029524</v>
      </c>
      <c r="F24" s="91" t="n">
        <f aca="false">q_inputs!$H$239*F5</f>
        <v>0.00154867697012171</v>
      </c>
      <c r="G24" s="91" t="n">
        <f aca="false">q_inputs!$H$239*G5</f>
        <v>0.00132316127436815</v>
      </c>
      <c r="H24" s="91" t="n">
        <f aca="false">q_inputs!$H$239*H5</f>
        <v>0.00106172677493331</v>
      </c>
      <c r="K24" s="87" t="n">
        <v>20</v>
      </c>
      <c r="L24" s="90" t="n">
        <f aca="false">(1+$B$3)^-K24</f>
        <v>0.553675754186335</v>
      </c>
      <c r="M24" s="87" t="n">
        <f aca="false">IF(K24&lt;=65-M$3,M$3+K24-1,"")</f>
        <v>49</v>
      </c>
      <c r="N24" s="87" t="n">
        <f aca="false">IF(K24&lt;=65-N$3,N$3+K24-1,"")</f>
        <v>54</v>
      </c>
      <c r="O24" s="87" t="n">
        <f aca="false">IF(K24&lt;=65-O$3,O$3+K24-1,"")</f>
        <v>59</v>
      </c>
      <c r="P24" s="87" t="n">
        <f aca="false">IF(K24&lt;=65-P$3,P$3+K24-1,"")</f>
        <v>64</v>
      </c>
      <c r="Q24" s="87" t="str">
        <f aca="false">IF(K24&lt;=65-Q$3,Q$3+K24-1,"")</f>
        <v/>
      </c>
    </row>
    <row r="25" customFormat="false" ht="15" hidden="false" customHeight="true" outlineLevel="0" collapsed="false">
      <c r="C25" s="87" t="s">
        <v>617</v>
      </c>
      <c r="D25" s="91" t="n">
        <f aca="false">q_inputs!$H$241*D5</f>
        <v>0.00171890884857298</v>
      </c>
      <c r="E25" s="91" t="n">
        <f aca="false">q_inputs!$H$241*E5</f>
        <v>0.00156797258821723</v>
      </c>
      <c r="F25" s="91" t="n">
        <f aca="false">q_inputs!$H$241*F5</f>
        <v>0.00139299609471501</v>
      </c>
      <c r="G25" s="91" t="n">
        <f aca="false">q_inputs!$H$241*G5</f>
        <v>0.00119015038218597</v>
      </c>
      <c r="H25" s="91" t="n">
        <f aca="false">q_inputs!$H$241*H5</f>
        <v>0.000954996606568143</v>
      </c>
      <c r="K25" s="87" t="n">
        <v>21</v>
      </c>
      <c r="L25" s="90" t="n">
        <f aca="false">(1+$B$3)^-K25</f>
        <v>0.537549275909063</v>
      </c>
      <c r="M25" s="87" t="n">
        <f aca="false">IF(K25&lt;=65-M$3,M$3+K25-1,"")</f>
        <v>50</v>
      </c>
      <c r="N25" s="87" t="n">
        <f aca="false">IF(K25&lt;=65-N$3,N$3+K25-1,"")</f>
        <v>55</v>
      </c>
      <c r="O25" s="87" t="n">
        <f aca="false">IF(K25&lt;=65-O$3,O$3+K25-1,"")</f>
        <v>60</v>
      </c>
      <c r="P25" s="87" t="str">
        <f aca="false">IF(K25&lt;=65-P$3,P$3+K25-1,"")</f>
        <v/>
      </c>
      <c r="Q25" s="87" t="str">
        <f aca="false">IF(K25&lt;=65-Q$3,Q$3+K25-1,"")</f>
        <v/>
      </c>
    </row>
    <row r="26" customFormat="false" ht="15" hidden="false" customHeight="true" outlineLevel="0" collapsed="false">
      <c r="C26" s="87" t="s">
        <v>618</v>
      </c>
      <c r="D26" s="91" t="n">
        <f aca="false">q_inputs!$H$242*D5</f>
        <v>0.00107433414507613</v>
      </c>
      <c r="E26" s="91" t="n">
        <f aca="false">q_inputs!$H$242*E5</f>
        <v>0.000979997567330947</v>
      </c>
      <c r="F26" s="91" t="n">
        <f aca="false">q_inputs!$H$242*F5</f>
        <v>0.000870635618492774</v>
      </c>
      <c r="G26" s="91" t="n">
        <f aca="false">q_inputs!$H$242*G5</f>
        <v>0.000743855146489756</v>
      </c>
      <c r="H26" s="91" t="n">
        <f aca="false">q_inputs!$H$242*H5</f>
        <v>0.000596881832169141</v>
      </c>
      <c r="K26" s="87" t="n">
        <v>22</v>
      </c>
      <c r="L26" s="90" t="n">
        <f aca="false">(1+$B$3)^-K26</f>
        <v>0.521892500882585</v>
      </c>
      <c r="M26" s="87" t="n">
        <f aca="false">IF(K26&lt;=65-M$3,M$3+K26-1,"")</f>
        <v>51</v>
      </c>
      <c r="N26" s="87" t="n">
        <f aca="false">IF(K26&lt;=65-N$3,N$3+K26-1,"")</f>
        <v>56</v>
      </c>
      <c r="O26" s="87" t="n">
        <f aca="false">IF(K26&lt;=65-O$3,O$3+K26-1,"")</f>
        <v>61</v>
      </c>
      <c r="P26" s="87" t="str">
        <f aca="false">IF(K26&lt;=65-P$3,P$3+K26-1,"")</f>
        <v/>
      </c>
      <c r="Q26" s="87" t="str">
        <f aca="false">IF(K26&lt;=65-Q$3,Q$3+K26-1,"")</f>
        <v/>
      </c>
    </row>
    <row r="27" customFormat="false" ht="15" hidden="false" customHeight="true" outlineLevel="0" collapsed="false">
      <c r="K27" s="87" t="n">
        <v>23</v>
      </c>
      <c r="L27" s="90" t="n">
        <f aca="false">(1+$B$3)^-K27</f>
        <v>0.506691748429694</v>
      </c>
      <c r="M27" s="87" t="n">
        <f aca="false">IF(K27&lt;=65-M$3,M$3+K27-1,"")</f>
        <v>52</v>
      </c>
      <c r="N27" s="87" t="n">
        <f aca="false">IF(K27&lt;=65-N$3,N$3+K27-1,"")</f>
        <v>57</v>
      </c>
      <c r="O27" s="87" t="n">
        <f aca="false">IF(K27&lt;=65-O$3,O$3+K27-1,"")</f>
        <v>62</v>
      </c>
      <c r="P27" s="87" t="str">
        <f aca="false">IF(K27&lt;=65-P$3,P$3+K27-1,"")</f>
        <v/>
      </c>
      <c r="Q27" s="87" t="str">
        <f aca="false">IF(K27&lt;=65-Q$3,Q$3+K27-1,"")</f>
        <v/>
      </c>
    </row>
    <row r="28" customFormat="false" ht="15" hidden="false" customHeight="true" outlineLevel="0" collapsed="false">
      <c r="K28" s="87" t="n">
        <v>24</v>
      </c>
      <c r="L28" s="90" t="n">
        <f aca="false">(1+$B$3)^-K28</f>
        <v>0.491933736339509</v>
      </c>
      <c r="M28" s="87" t="n">
        <f aca="false">IF(K28&lt;=65-M$3,M$3+K28-1,"")</f>
        <v>53</v>
      </c>
      <c r="N28" s="87" t="n">
        <f aca="false">IF(K28&lt;=65-N$3,N$3+K28-1,"")</f>
        <v>58</v>
      </c>
      <c r="O28" s="87" t="n">
        <f aca="false">IF(K28&lt;=65-O$3,O$3+K28-1,"")</f>
        <v>63</v>
      </c>
      <c r="P28" s="87" t="str">
        <f aca="false">IF(K28&lt;=65-P$3,P$3+K28-1,"")</f>
        <v/>
      </c>
      <c r="Q28" s="87" t="str">
        <f aca="false">IF(K28&lt;=65-Q$3,Q$3+K28-1,"")</f>
        <v/>
      </c>
    </row>
    <row r="29" customFormat="false" ht="15" hidden="false" customHeight="true" outlineLevel="0" collapsed="false">
      <c r="C29" s="92" t="s">
        <v>619</v>
      </c>
      <c r="K29" s="87" t="n">
        <v>25</v>
      </c>
      <c r="L29" s="90" t="n">
        <f aca="false">(1+$B$3)^-K29</f>
        <v>0.477605569261659</v>
      </c>
      <c r="M29" s="87" t="n">
        <f aca="false">IF(K29&lt;=65-M$3,M$3+K29-1,"")</f>
        <v>54</v>
      </c>
      <c r="N29" s="87" t="n">
        <f aca="false">IF(K29&lt;=65-N$3,N$3+K29-1,"")</f>
        <v>59</v>
      </c>
      <c r="O29" s="87" t="n">
        <f aca="false">IF(K29&lt;=65-O$3,O$3+K29-1,"")</f>
        <v>64</v>
      </c>
      <c r="P29" s="87" t="str">
        <f aca="false">IF(K29&lt;=65-P$3,P$3+K29-1,"")</f>
        <v/>
      </c>
      <c r="Q29" s="87" t="str">
        <f aca="false">IF(K29&lt;=65-Q$3,Q$3+K29-1,"")</f>
        <v/>
      </c>
    </row>
    <row r="30" customFormat="false" ht="15" hidden="false" customHeight="true" outlineLevel="0" collapsed="false">
      <c r="D30" s="93" t="n">
        <v>30</v>
      </c>
      <c r="E30" s="93" t="n">
        <v>35</v>
      </c>
      <c r="F30" s="93" t="n">
        <v>40</v>
      </c>
      <c r="G30" s="93" t="n">
        <v>45</v>
      </c>
      <c r="H30" s="93" t="n">
        <v>50</v>
      </c>
      <c r="K30" s="87" t="n">
        <v>26</v>
      </c>
      <c r="L30" s="90" t="n">
        <f aca="false">(1+$B$3)^-K30</f>
        <v>0.463694727438504</v>
      </c>
      <c r="M30" s="87" t="n">
        <f aca="false">IF(K30&lt;=65-M$3,M$3+K30-1,"")</f>
        <v>55</v>
      </c>
      <c r="N30" s="87" t="n">
        <f aca="false">IF(K30&lt;=65-N$3,N$3+K30-1,"")</f>
        <v>60</v>
      </c>
      <c r="O30" s="87" t="str">
        <f aca="false">IF(K30&lt;=65-O$3,O$3+K30-1,"")</f>
        <v/>
      </c>
      <c r="P30" s="87" t="str">
        <f aca="false">IF(K30&lt;=65-P$3,P$3+K30-1,"")</f>
        <v/>
      </c>
      <c r="Q30" s="87" t="str">
        <f aca="false">IF(K30&lt;=65-Q$3,Q$3+K30-1,"")</f>
        <v/>
      </c>
    </row>
    <row r="31" customFormat="false" ht="15" hidden="false" customHeight="true" outlineLevel="0" collapsed="false">
      <c r="C31" s="64" t="s">
        <v>264</v>
      </c>
      <c r="D31" s="94" t="n">
        <f aca="false">EPV_cancer!$C$7*(Wording_Scores!$C$104*Benefit_b!$C$106*D16 + Wording_Scores!$C$37*Benefit_b!$C$39*D19 + Wording_Scores!$C$51*Benefit_b!$C$53*D21 + Wording_Scores!$C$86*Benefit_b!$C$88*D23 + Wording_Scores!$C$137*Benefit_b!$C$139*D25)</f>
        <v>14501.0892000565</v>
      </c>
      <c r="E31" s="94" t="n">
        <f aca="false">EPV_cancer!$C$7*(Wording_Scores!$C$104*Benefit_b!$C$106*E16 + Wording_Scores!$C$37*Benefit_b!$C$39*E19 + Wording_Scores!$C$51*Benefit_b!$C$53*E21 + Wording_Scores!$C$86*Benefit_b!$C$88*E23 + Wording_Scores!$C$137*Benefit_b!$C$139*E25)</f>
        <v>16092.9076025567</v>
      </c>
      <c r="F31" s="94" t="n">
        <f aca="false">EPV_cancer!$C$7*(Wording_Scores!$C$104*Benefit_b!$C$106*F16 + Wording_Scores!$C$37*Benefit_b!$C$39*F19 + Wording_Scores!$C$51*Benefit_b!$C$53*F21 + Wording_Scores!$C$86*Benefit_b!$C$88*F23 + Wording_Scores!$C$137*Benefit_b!$C$139*F25)</f>
        <v>17707.5647275432</v>
      </c>
      <c r="G31" s="94" t="n">
        <f aca="false">EPV_cancer!$C$7*(Wording_Scores!$C$104*Benefit_b!$C$106*G16 + Wording_Scores!$C$37*Benefit_b!$C$39*G19 + Wording_Scores!$C$51*Benefit_b!$C$53*G21 + Wording_Scores!$C$86*Benefit_b!$C$88*G23 + Wording_Scores!$C$137*Benefit_b!$C$139*G25)</f>
        <v>19198.5955881814</v>
      </c>
      <c r="H31" s="94" t="n">
        <f aca="false">EPV_cancer!$C$7*(Wording_Scores!$C$104*Benefit_b!$C$106*H16 + Wording_Scores!$C$37*Benefit_b!$C$39*H19 + Wording_Scores!$C$51*Benefit_b!$C$53*H21 + Wording_Scores!$C$86*Benefit_b!$C$88*H23 + Wording_Scores!$C$137*Benefit_b!$C$139*H25)</f>
        <v>19141.1699587648</v>
      </c>
      <c r="K31" s="87" t="n">
        <v>27</v>
      </c>
      <c r="L31" s="90" t="n">
        <f aca="false">(1+$B$3)^-K31</f>
        <v>0.450189055765538</v>
      </c>
      <c r="M31" s="87" t="n">
        <f aca="false">IF(K31&lt;=65-M$3,M$3+K31-1,"")</f>
        <v>56</v>
      </c>
      <c r="N31" s="87" t="n">
        <f aca="false">IF(K31&lt;=65-N$3,N$3+K31-1,"")</f>
        <v>61</v>
      </c>
      <c r="O31" s="87" t="str">
        <f aca="false">IF(K31&lt;=65-O$3,O$3+K31-1,"")</f>
        <v/>
      </c>
      <c r="P31" s="87" t="str">
        <f aca="false">IF(K31&lt;=65-P$3,P$3+K31-1,"")</f>
        <v/>
      </c>
      <c r="Q31" s="87" t="str">
        <f aca="false">IF(K31&lt;=65-Q$3,Q$3+K31-1,"")</f>
        <v/>
      </c>
    </row>
    <row r="32" customFormat="false" ht="15" hidden="false" customHeight="true" outlineLevel="0" collapsed="false">
      <c r="C32" s="64" t="s">
        <v>265</v>
      </c>
      <c r="D32" s="94" t="n">
        <f aca="false">EPV_cancer!$C$7*(Wording_Scores!$D$104*Benefit_b!$D$106*D16 + Wording_Scores!$D$37*Benefit_b!$D$39*D19 + Wording_Scores!$D$51*Benefit_b!$D$53*D21 + Wording_Scores!$D$86*Benefit_b!$D$88*D23 + Wording_Scores!$D$137*Benefit_b!$D$139*D25)</f>
        <v>11668.4227952744</v>
      </c>
      <c r="E32" s="94" t="n">
        <f aca="false">EPV_cancer!$C$7*(Wording_Scores!$D$104*Benefit_b!$D$106*E16 + Wording_Scores!$D$37*Benefit_b!$D$39*E19 + Wording_Scores!$D$51*Benefit_b!$D$53*E21 + Wording_Scores!$D$86*Benefit_b!$D$88*E23 + Wording_Scores!$D$137*Benefit_b!$D$139*E25)</f>
        <v>12949.4403534563</v>
      </c>
      <c r="F32" s="94" t="n">
        <f aca="false">EPV_cancer!$C$7*(Wording_Scores!$D$104*Benefit_b!$D$106*F16 + Wording_Scores!$D$37*Benefit_b!$D$39*F19 + Wording_Scores!$D$51*Benefit_b!$D$53*F21 + Wording_Scores!$D$86*Benefit_b!$D$88*F23 + Wording_Scores!$D$137*Benefit_b!$D$139*F25)</f>
        <v>14342.2121253694</v>
      </c>
      <c r="G32" s="94" t="n">
        <f aca="false">EPV_cancer!$C$7*(Wording_Scores!$D$104*Benefit_b!$D$106*G16 + Wording_Scores!$D$37*Benefit_b!$D$39*G19 + Wording_Scores!$D$51*Benefit_b!$D$53*G21 + Wording_Scores!$D$86*Benefit_b!$D$88*G23 + Wording_Scores!$D$137*Benefit_b!$D$139*G25)</f>
        <v>15804.4966186681</v>
      </c>
      <c r="H32" s="94" t="n">
        <f aca="false">EPV_cancer!$C$7*(Wording_Scores!$D$104*Benefit_b!$D$106*H16 + Wording_Scores!$D$37*Benefit_b!$D$39*H19 + Wording_Scores!$D$51*Benefit_b!$D$53*H21 + Wording_Scores!$D$86*Benefit_b!$D$88*H23 + Wording_Scores!$D$137*Benefit_b!$D$139*H25)</f>
        <v>14176.1509584078</v>
      </c>
      <c r="K32" s="87" t="n">
        <v>28</v>
      </c>
      <c r="L32" s="90" t="n">
        <f aca="false">(1+$B$3)^-K32</f>
        <v>0.437076753170425</v>
      </c>
      <c r="M32" s="87" t="n">
        <f aca="false">IF(K32&lt;=65-M$3,M$3+K32-1,"")</f>
        <v>57</v>
      </c>
      <c r="N32" s="87" t="n">
        <f aca="false">IF(K32&lt;=65-N$3,N$3+K32-1,"")</f>
        <v>62</v>
      </c>
      <c r="O32" s="87" t="str">
        <f aca="false">IF(K32&lt;=65-O$3,O$3+K32-1,"")</f>
        <v/>
      </c>
      <c r="P32" s="87" t="str">
        <f aca="false">IF(K32&lt;=65-P$3,P$3+K32-1,"")</f>
        <v/>
      </c>
      <c r="Q32" s="87" t="str">
        <f aca="false">IF(K32&lt;=65-Q$3,Q$3+K32-1,"")</f>
        <v/>
      </c>
    </row>
    <row r="33" customFormat="false" ht="15" hidden="false" customHeight="true" outlineLevel="0" collapsed="false">
      <c r="C33" s="64" t="s">
        <v>266</v>
      </c>
      <c r="D33" s="94" t="n">
        <f aca="false">EPV_cancer!$C$7*(Wording_Scores!$E$104*Benefit_b!$E$106*D16 + Wording_Scores!$E$37*Benefit_b!$E$39*D19 + Wording_Scores!$E$51*Benefit_b!$E$53*D21 + Wording_Scores!$E$86*Benefit_b!$E$88*D23 + Wording_Scores!$E$137*Benefit_b!$E$139*D25)</f>
        <v>6447.78256981882</v>
      </c>
      <c r="E33" s="94" t="n">
        <f aca="false">EPV_cancer!$C$7*(Wording_Scores!$E$104*Benefit_b!$E$106*E16 + Wording_Scores!$E$37*Benefit_b!$E$39*E19 + Wording_Scores!$E$51*Benefit_b!$E$53*E21 + Wording_Scores!$E$86*Benefit_b!$E$88*E23 + Wording_Scores!$E$137*Benefit_b!$E$139*E25)</f>
        <v>7146.15088754215</v>
      </c>
      <c r="F33" s="94" t="n">
        <f aca="false">EPV_cancer!$C$7*(Wording_Scores!$E$104*Benefit_b!$E$106*F16 + Wording_Scores!$E$37*Benefit_b!$E$39*F19 + Wording_Scores!$E$51*Benefit_b!$E$53*F21 + Wording_Scores!$E$86*Benefit_b!$E$88*F23 + Wording_Scores!$E$137*Benefit_b!$E$139*F25)</f>
        <v>7909.61183658617</v>
      </c>
      <c r="G33" s="94" t="n">
        <f aca="false">EPV_cancer!$C$7*(Wording_Scores!$E$104*Benefit_b!$E$106*G16 + Wording_Scores!$E$37*Benefit_b!$E$39*G19 + Wording_Scores!$E$51*Benefit_b!$E$53*G21 + Wording_Scores!$E$86*Benefit_b!$E$88*G23 + Wording_Scores!$E$137*Benefit_b!$E$139*G25)</f>
        <v>8718.51246490491</v>
      </c>
      <c r="H33" s="94" t="n">
        <f aca="false">EPV_cancer!$C$7*(Wording_Scores!$E$104*Benefit_b!$E$106*H16 + Wording_Scores!$E$37*Benefit_b!$E$39*H19 + Wording_Scores!$E$51*Benefit_b!$E$53*H21 + Wording_Scores!$E$86*Benefit_b!$E$88*H23 + Wording_Scores!$E$137*Benefit_b!$E$139*H25)</f>
        <v>7743.0595134077</v>
      </c>
      <c r="K33" s="87" t="n">
        <v>29</v>
      </c>
      <c r="L33" s="90" t="n">
        <f aca="false">(1+$B$3)^-K33</f>
        <v>0.424346362301384</v>
      </c>
      <c r="M33" s="87" t="n">
        <f aca="false">IF(K33&lt;=65-M$3,M$3+K33-1,"")</f>
        <v>58</v>
      </c>
      <c r="N33" s="87" t="n">
        <f aca="false">IF(K33&lt;=65-N$3,N$3+K33-1,"")</f>
        <v>63</v>
      </c>
      <c r="O33" s="87" t="str">
        <f aca="false">IF(K33&lt;=65-O$3,O$3+K33-1,"")</f>
        <v/>
      </c>
      <c r="P33" s="87" t="str">
        <f aca="false">IF(K33&lt;=65-P$3,P$3+K33-1,"")</f>
        <v/>
      </c>
      <c r="Q33" s="87" t="str">
        <f aca="false">IF(K33&lt;=65-Q$3,Q$3+K33-1,"")</f>
        <v/>
      </c>
    </row>
    <row r="34" customFormat="false" ht="15" hidden="false" customHeight="true" outlineLevel="0" collapsed="false">
      <c r="C34" s="64" t="s">
        <v>267</v>
      </c>
      <c r="D34" s="94" t="n">
        <f aca="false">EPV_cancer!$C$7*(Wording_Scores!$F$104*Benefit_b!$F$106*D16 + Wording_Scores!$F$37*Benefit_b!$F$39*D19 + Wording_Scores!$F$51*Benefit_b!$F$53*D21 + Wording_Scores!$F$86*Benefit_b!$F$88*D23 + Wording_Scores!$F$137*Benefit_b!$F$139*D25)</f>
        <v>13704.9465025613</v>
      </c>
      <c r="E34" s="94" t="n">
        <f aca="false">EPV_cancer!$C$7*(Wording_Scores!$F$104*Benefit_b!$F$106*E16 + Wording_Scores!$F$37*Benefit_b!$F$39*E19 + Wording_Scores!$F$51*Benefit_b!$F$53*E21 + Wording_Scores!$F$86*Benefit_b!$F$88*E23 + Wording_Scores!$F$137*Benefit_b!$F$139*E25)</f>
        <v>15216.7106278711</v>
      </c>
      <c r="F34" s="94" t="n">
        <f aca="false">EPV_cancer!$C$7*(Wording_Scores!$F$104*Benefit_b!$F$106*F16 + Wording_Scores!$F$37*Benefit_b!$F$39*F19 + Wording_Scores!$F$51*Benefit_b!$F$53*F21 + Wording_Scores!$F$86*Benefit_b!$F$88*F23 + Wording_Scores!$F$137*Benefit_b!$F$139*F25)</f>
        <v>16784.702240779</v>
      </c>
      <c r="G34" s="94" t="n">
        <f aca="false">EPV_cancer!$C$7*(Wording_Scores!$F$104*Benefit_b!$F$106*G16 + Wording_Scores!$F$37*Benefit_b!$F$39*G19 + Wording_Scores!$F$51*Benefit_b!$F$53*G21 + Wording_Scores!$F$86*Benefit_b!$F$88*G23 + Wording_Scores!$F$137*Benefit_b!$F$139*G25)</f>
        <v>18297.7948397491</v>
      </c>
      <c r="H34" s="94" t="n">
        <f aca="false">EPV_cancer!$C$7*(Wording_Scores!$F$104*Benefit_b!$F$106*H16 + Wording_Scores!$F$37*Benefit_b!$F$39*H19 + Wording_Scores!$F$51*Benefit_b!$F$53*H21 + Wording_Scores!$F$86*Benefit_b!$F$88*H23 + Wording_Scores!$F$137*Benefit_b!$F$139*H25)</f>
        <v>17671.1733054023</v>
      </c>
      <c r="K34" s="87" t="n">
        <v>30</v>
      </c>
      <c r="L34" s="90" t="n">
        <f aca="false">(1+$B$3)^-K34</f>
        <v>0.411986759515906</v>
      </c>
      <c r="M34" s="87" t="n">
        <f aca="false">IF(K34&lt;=65-M$3,M$3+K34-1,"")</f>
        <v>59</v>
      </c>
      <c r="N34" s="87" t="n">
        <f aca="false">IF(K34&lt;=65-N$3,N$3+K34-1,"")</f>
        <v>64</v>
      </c>
      <c r="O34" s="87" t="str">
        <f aca="false">IF(K34&lt;=65-O$3,O$3+K34-1,"")</f>
        <v/>
      </c>
      <c r="P34" s="87" t="str">
        <f aca="false">IF(K34&lt;=65-P$3,P$3+K34-1,"")</f>
        <v/>
      </c>
      <c r="Q34" s="87" t="str">
        <f aca="false">IF(K34&lt;=65-Q$3,Q$3+K34-1,"")</f>
        <v/>
      </c>
    </row>
    <row r="35" customFormat="false" ht="15" hidden="false" customHeight="true" outlineLevel="0" collapsed="false">
      <c r="C35" s="64" t="s">
        <v>268</v>
      </c>
      <c r="D35" s="94" t="n">
        <f aca="false">EPV_cancer!$C$7*(Wording_Scores!$G$104*Benefit_b!$G$106*D16 + Wording_Scores!$G$37*Benefit_b!$G$39*D19 + Wording_Scores!$G$51*Benefit_b!$G$53*D21 + Wording_Scores!$G$86*Benefit_b!$G$88*D23 + Wording_Scores!$G$137*Benefit_b!$G$139*D25)</f>
        <v>15810.613071202</v>
      </c>
      <c r="E35" s="94" t="n">
        <f aca="false">EPV_cancer!$C$7*(Wording_Scores!$G$104*Benefit_b!$G$106*E16 + Wording_Scores!$G$37*Benefit_b!$G$39*E19 + Wording_Scores!$G$51*Benefit_b!$G$53*E21 + Wording_Scores!$G$86*Benefit_b!$G$88*E23 + Wording_Scores!$G$137*Benefit_b!$G$139*E25)</f>
        <v>17546.2010552337</v>
      </c>
      <c r="F35" s="94" t="n">
        <f aca="false">EPV_cancer!$C$7*(Wording_Scores!$G$104*Benefit_b!$G$106*F16 + Wording_Scores!$G$37*Benefit_b!$G$39*F19 + Wording_Scores!$G$51*Benefit_b!$G$53*F21 + Wording_Scores!$G$86*Benefit_b!$G$88*F23 + Wording_Scores!$G$137*Benefit_b!$G$139*F25)</f>
        <v>19419.8052007728</v>
      </c>
      <c r="G35" s="94" t="n">
        <f aca="false">EPV_cancer!$C$7*(Wording_Scores!$G$104*Benefit_b!$G$106*G16 + Wording_Scores!$G$37*Benefit_b!$G$39*G19 + Wording_Scores!$G$51*Benefit_b!$G$53*G21 + Wording_Scores!$G$86*Benefit_b!$G$88*G23 + Wording_Scores!$G$137*Benefit_b!$G$139*G25)</f>
        <v>21363.3463422518</v>
      </c>
      <c r="H35" s="94" t="n">
        <f aca="false">EPV_cancer!$C$7*(Wording_Scores!$G$104*Benefit_b!$G$106*H16 + Wording_Scores!$G$37*Benefit_b!$G$39*H19 + Wording_Scores!$G$51*Benefit_b!$G$53*H21 + Wording_Scores!$G$86*Benefit_b!$G$88*H23 + Wording_Scores!$G$137*Benefit_b!$G$139*H25)</f>
        <v>19383.8441508643</v>
      </c>
      <c r="K35" s="87" t="n">
        <v>31</v>
      </c>
      <c r="L35" s="90" t="n">
        <f aca="false">(1+$B$3)^-K35</f>
        <v>0.399987145161074</v>
      </c>
      <c r="M35" s="87" t="n">
        <f aca="false">IF(K35&lt;=65-M$3,M$3+K35-1,"")</f>
        <v>60</v>
      </c>
      <c r="N35" s="87" t="str">
        <f aca="false">IF(K35&lt;=65-N$3,N$3+K35-1,"")</f>
        <v/>
      </c>
      <c r="O35" s="87" t="str">
        <f aca="false">IF(K35&lt;=65-O$3,O$3+K35-1,"")</f>
        <v/>
      </c>
      <c r="P35" s="87" t="str">
        <f aca="false">IF(K35&lt;=65-P$3,P$3+K35-1,"")</f>
        <v/>
      </c>
      <c r="Q35" s="87" t="str">
        <f aca="false">IF(K35&lt;=65-Q$3,Q$3+K35-1,"")</f>
        <v/>
      </c>
    </row>
    <row r="36" customFormat="false" ht="15" hidden="false" customHeight="true" outlineLevel="0" collapsed="false">
      <c r="C36" s="92" t="s">
        <v>620</v>
      </c>
      <c r="K36" s="87" t="n">
        <v>32</v>
      </c>
      <c r="L36" s="90" t="n">
        <f aca="false">(1+$B$3)^-K36</f>
        <v>0.388337034136965</v>
      </c>
      <c r="M36" s="87" t="n">
        <f aca="false">IF(K36&lt;=65-M$3,M$3+K36-1,"")</f>
        <v>61</v>
      </c>
      <c r="N36" s="87" t="str">
        <f aca="false">IF(K36&lt;=65-N$3,N$3+K36-1,"")</f>
        <v/>
      </c>
      <c r="O36" s="87" t="str">
        <f aca="false">IF(K36&lt;=65-O$3,O$3+K36-1,"")</f>
        <v/>
      </c>
      <c r="P36" s="87" t="str">
        <f aca="false">IF(K36&lt;=65-P$3,P$3+K36-1,"")</f>
        <v/>
      </c>
      <c r="Q36" s="87" t="str">
        <f aca="false">IF(K36&lt;=65-Q$3,Q$3+K36-1,"")</f>
        <v/>
      </c>
    </row>
    <row r="37" customFormat="false" ht="15" hidden="false" customHeight="true" outlineLevel="0" collapsed="false">
      <c r="D37" s="93" t="n">
        <v>30</v>
      </c>
      <c r="E37" s="93" t="n">
        <v>35</v>
      </c>
      <c r="F37" s="93" t="n">
        <v>40</v>
      </c>
      <c r="G37" s="93" t="n">
        <v>45</v>
      </c>
      <c r="H37" s="93" t="n">
        <v>50</v>
      </c>
      <c r="K37" s="87" t="n">
        <v>33</v>
      </c>
      <c r="L37" s="90" t="n">
        <f aca="false">(1+$B$3)^-K37</f>
        <v>0.377026246734918</v>
      </c>
      <c r="M37" s="87" t="n">
        <f aca="false">IF(K37&lt;=65-M$3,M$3+K37-1,"")</f>
        <v>62</v>
      </c>
      <c r="N37" s="87" t="str">
        <f aca="false">IF(K37&lt;=65-N$3,N$3+K37-1,"")</f>
        <v/>
      </c>
      <c r="O37" s="87" t="str">
        <f aca="false">IF(K37&lt;=65-O$3,O$3+K37-1,"")</f>
        <v/>
      </c>
      <c r="P37" s="87" t="str">
        <f aca="false">IF(K37&lt;=65-P$3,P$3+K37-1,"")</f>
        <v/>
      </c>
      <c r="Q37" s="87" t="str">
        <f aca="false">IF(K37&lt;=65-Q$3,Q$3+K37-1,"")</f>
        <v/>
      </c>
    </row>
    <row r="38" customFormat="false" ht="15" hidden="false" customHeight="true" outlineLevel="0" collapsed="false">
      <c r="C38" s="64" t="s">
        <v>264</v>
      </c>
      <c r="D38" s="94" t="n">
        <f aca="false">EPV_cancer!$C$7*(Wording_Scores!$C$104*Benefit_b!$C$106*D17 + Wording_Scores!$C$107*Benefit_b!$C$109*D18 + Wording_Scores!$C$37*Benefit_b!$C$39*D20 + Wording_Scores!$C$51*Benefit_b!$C$53*D22 + Wording_Scores!$C$86*Benefit_b!$C$88*D24 + Wording_Scores!$C$137*Benefit_b!$C$139*D26)</f>
        <v>14802.6781174722</v>
      </c>
      <c r="E38" s="94" t="n">
        <f aca="false">EPV_cancer!$C$7*(Wording_Scores!$C$104*Benefit_b!$C$106*E17 + Wording_Scores!$C$107*Benefit_b!$C$109*E18 + Wording_Scores!$C$37*Benefit_b!$C$39*E20 + Wording_Scores!$C$51*Benefit_b!$C$53*E22 + Wording_Scores!$C$86*Benefit_b!$C$88*E24 + Wording_Scores!$C$137*Benefit_b!$C$139*E26)</f>
        <v>16009.9626867015</v>
      </c>
      <c r="F38" s="94" t="n">
        <f aca="false">EPV_cancer!$C$7*(Wording_Scores!$C$104*Benefit_b!$C$106*F17 + Wording_Scores!$C$107*Benefit_b!$C$109*F18 + Wording_Scores!$C$37*Benefit_b!$C$39*F20 + Wording_Scores!$C$51*Benefit_b!$C$53*F22 + Wording_Scores!$C$86*Benefit_b!$C$88*F24 + Wording_Scores!$C$137*Benefit_b!$C$139*F26)</f>
        <v>16959.5582097582</v>
      </c>
      <c r="G38" s="94" t="n">
        <f aca="false">EPV_cancer!$C$7*(Wording_Scores!$C$104*Benefit_b!$C$106*G17 + Wording_Scores!$C$107*Benefit_b!$C$109*G18 + Wording_Scores!$C$37*Benefit_b!$C$39*G20 + Wording_Scores!$C$51*Benefit_b!$C$53*G22 + Wording_Scores!$C$86*Benefit_b!$C$88*G24 + Wording_Scores!$C$137*Benefit_b!$C$139*G26)</f>
        <v>17219.7505936583</v>
      </c>
      <c r="H38" s="94" t="n">
        <f aca="false">EPV_cancer!$C$7*(Wording_Scores!$C$104*Benefit_b!$C$106*H17 + Wording_Scores!$C$107*Benefit_b!$C$109*H18 + Wording_Scores!$C$37*Benefit_b!$C$39*H20 + Wording_Scores!$C$51*Benefit_b!$C$53*H22 + Wording_Scores!$C$86*Benefit_b!$C$88*H24 + Wording_Scores!$C$137*Benefit_b!$C$139*H26)</f>
        <v>15993.0188883943</v>
      </c>
      <c r="K38" s="87" t="n">
        <v>34</v>
      </c>
      <c r="L38" s="90" t="n">
        <f aca="false">(1+$B$3)^-K38</f>
        <v>0.366044899742639</v>
      </c>
      <c r="M38" s="87" t="n">
        <f aca="false">IF(K38&lt;=65-M$3,M$3+K38-1,"")</f>
        <v>63</v>
      </c>
      <c r="N38" s="87" t="str">
        <f aca="false">IF(K38&lt;=65-N$3,N$3+K38-1,"")</f>
        <v/>
      </c>
      <c r="O38" s="87" t="str">
        <f aca="false">IF(K38&lt;=65-O$3,O$3+K38-1,"")</f>
        <v/>
      </c>
      <c r="P38" s="87" t="str">
        <f aca="false">IF(K38&lt;=65-P$3,P$3+K38-1,"")</f>
        <v/>
      </c>
      <c r="Q38" s="87" t="str">
        <f aca="false">IF(K38&lt;=65-Q$3,Q$3+K38-1,"")</f>
        <v/>
      </c>
    </row>
    <row r="39" customFormat="false" ht="15" hidden="false" customHeight="true" outlineLevel="0" collapsed="false">
      <c r="C39" s="64" t="s">
        <v>265</v>
      </c>
      <c r="D39" s="94" t="n">
        <f aca="false">EPV_cancer!$C$7*(Wording_Scores!$D$104*Benefit_b!$D$106*D17 + Wording_Scores!$D$107*Benefit_b!$D$109*D18 + Wording_Scores!$D$37*Benefit_b!$D$39*D20 + Wording_Scores!$D$51*Benefit_b!$D$53*D22 + Wording_Scores!$D$86*Benefit_b!$D$88*D24 + Wording_Scores!$D$137*Benefit_b!$D$139*D26)</f>
        <v>8284.46805483937</v>
      </c>
      <c r="E39" s="94" t="n">
        <f aca="false">EPV_cancer!$C$7*(Wording_Scores!$D$104*Benefit_b!$D$106*E17 + Wording_Scores!$D$107*Benefit_b!$D$109*E18 + Wording_Scores!$D$37*Benefit_b!$D$39*E20 + Wording_Scores!$D$51*Benefit_b!$D$53*E22 + Wording_Scores!$D$86*Benefit_b!$D$88*E24 + Wording_Scores!$D$137*Benefit_b!$D$139*E26)</f>
        <v>8962.50127779795</v>
      </c>
      <c r="F39" s="94" t="n">
        <f aca="false">EPV_cancer!$C$7*(Wording_Scores!$D$104*Benefit_b!$D$106*F17 + Wording_Scores!$D$107*Benefit_b!$D$109*F18 + Wording_Scores!$D$37*Benefit_b!$D$39*F20 + Wording_Scores!$D$51*Benefit_b!$D$53*F22 + Wording_Scores!$D$86*Benefit_b!$D$88*F24 + Wording_Scores!$D$137*Benefit_b!$D$139*F26)</f>
        <v>9568.27195895881</v>
      </c>
      <c r="G39" s="94" t="n">
        <f aca="false">EPV_cancer!$C$7*(Wording_Scores!$D$104*Benefit_b!$D$106*G17 + Wording_Scores!$D$107*Benefit_b!$D$109*G18 + Wording_Scores!$D$37*Benefit_b!$D$39*G20 + Wording_Scores!$D$51*Benefit_b!$D$53*G22 + Wording_Scores!$D$86*Benefit_b!$D$88*G24 + Wording_Scores!$D$137*Benefit_b!$D$139*G26)</f>
        <v>9933.80419419746</v>
      </c>
      <c r="H39" s="94" t="n">
        <f aca="false">EPV_cancer!$C$7*(Wording_Scores!$D$104*Benefit_b!$D$106*H17 + Wording_Scores!$D$107*Benefit_b!$D$109*H18 + Wording_Scores!$D$37*Benefit_b!$D$39*H20 + Wording_Scores!$D$51*Benefit_b!$D$53*H22 + Wording_Scores!$D$86*Benefit_b!$D$88*H24 + Wording_Scores!$D$137*Benefit_b!$D$139*H26)</f>
        <v>8842.17525865652</v>
      </c>
      <c r="K39" s="87" t="n">
        <v>35</v>
      </c>
      <c r="L39" s="90" t="n">
        <f aca="false">(1+$B$3)^-K39</f>
        <v>0.355383397808387</v>
      </c>
      <c r="M39" s="87" t="n">
        <f aca="false">IF(K39&lt;=65-M$3,M$3+K39-1,"")</f>
        <v>64</v>
      </c>
      <c r="N39" s="87" t="str">
        <f aca="false">IF(K39&lt;=65-N$3,N$3+K39-1,"")</f>
        <v/>
      </c>
      <c r="O39" s="87" t="str">
        <f aca="false">IF(K39&lt;=65-O$3,O$3+K39-1,"")</f>
        <v/>
      </c>
      <c r="P39" s="87" t="str">
        <f aca="false">IF(K39&lt;=65-P$3,P$3+K39-1,"")</f>
        <v/>
      </c>
      <c r="Q39" s="87" t="str">
        <f aca="false">IF(K39&lt;=65-Q$3,Q$3+K39-1,"")</f>
        <v/>
      </c>
    </row>
    <row r="40" customFormat="false" ht="15" hidden="false" customHeight="true" outlineLevel="0" collapsed="false">
      <c r="C40" s="64" t="s">
        <v>266</v>
      </c>
      <c r="D40" s="94" t="n">
        <f aca="false">EPV_cancer!$C$7*(Wording_Scores!$E$104*Benefit_b!$E$106*D17 + Wording_Scores!$E$107*Benefit_b!$E$109*D18 + Wording_Scores!$E$37*Benefit_b!$E$39*D20 + Wording_Scores!$E$51*Benefit_b!$E$53*D22 + Wording_Scores!$E$86*Benefit_b!$E$88*D24 + Wording_Scores!$E$137*Benefit_b!$E$139*D26)</f>
        <v>4583.47232262033</v>
      </c>
      <c r="E40" s="94" t="n">
        <f aca="false">EPV_cancer!$C$7*(Wording_Scores!$E$104*Benefit_b!$E$106*E17 + Wording_Scores!$E$107*Benefit_b!$E$109*E18 + Wording_Scores!$E$37*Benefit_b!$E$39*E20 + Wording_Scores!$E$51*Benefit_b!$E$53*E22 + Wording_Scores!$E$86*Benefit_b!$E$88*E24 + Wording_Scores!$E$137*Benefit_b!$E$139*E26)</f>
        <v>4948.2547722052</v>
      </c>
      <c r="F40" s="94" t="n">
        <f aca="false">EPV_cancer!$C$7*(Wording_Scores!$E$104*Benefit_b!$E$106*F17 + Wording_Scores!$E$107*Benefit_b!$E$109*F18 + Wording_Scores!$E$37*Benefit_b!$E$39*F20 + Wording_Scores!$E$51*Benefit_b!$E$53*F22 + Wording_Scores!$E$86*Benefit_b!$E$88*F24 + Wording_Scores!$E$137*Benefit_b!$E$139*F26)</f>
        <v>5280.61320432238</v>
      </c>
      <c r="G40" s="94" t="n">
        <f aca="false">EPV_cancer!$C$7*(Wording_Scores!$E$104*Benefit_b!$E$106*G17 + Wording_Scores!$E$107*Benefit_b!$E$109*G18 + Wording_Scores!$E$37*Benefit_b!$E$39*G20 + Wording_Scores!$E$51*Benefit_b!$E$53*G22 + Wording_Scores!$E$86*Benefit_b!$E$88*G24 + Wording_Scores!$E$137*Benefit_b!$E$139*G26)</f>
        <v>5496.85314947696</v>
      </c>
      <c r="H40" s="94" t="n">
        <f aca="false">EPV_cancer!$C$7*(Wording_Scores!$E$104*Benefit_b!$E$106*H17 + Wording_Scores!$E$107*Benefit_b!$E$109*H18 + Wording_Scores!$E$37*Benefit_b!$E$39*H20 + Wording_Scores!$E$51*Benefit_b!$E$53*H22 + Wording_Scores!$E$86*Benefit_b!$E$88*H24 + Wording_Scores!$E$137*Benefit_b!$E$139*H26)</f>
        <v>4847.65423815105</v>
      </c>
    </row>
    <row r="41" customFormat="false" ht="15" hidden="false" customHeight="true" outlineLevel="0" collapsed="false">
      <c r="C41" s="64" t="s">
        <v>267</v>
      </c>
      <c r="D41" s="94" t="n">
        <f aca="false">EPV_cancer!$C$7*(Wording_Scores!$F$104*Benefit_b!$F$106*D17 + Wording_Scores!$F$107*Benefit_b!$F$109*D18 + Wording_Scores!$F$37*Benefit_b!$F$39*D20 + Wording_Scores!$F$51*Benefit_b!$F$53*D22 + Wording_Scores!$F$86*Benefit_b!$F$88*D24 + Wording_Scores!$F$137*Benefit_b!$F$139*D26)</f>
        <v>12208.8575517253</v>
      </c>
      <c r="E41" s="94" t="n">
        <f aca="false">EPV_cancer!$C$7*(Wording_Scores!$F$104*Benefit_b!$F$106*E17 + Wording_Scores!$F$107*Benefit_b!$F$109*E18 + Wording_Scores!$F$37*Benefit_b!$F$39*E20 + Wording_Scores!$F$51*Benefit_b!$F$53*E22 + Wording_Scores!$F$86*Benefit_b!$F$88*E24 + Wording_Scores!$F$137*Benefit_b!$F$139*E26)</f>
        <v>13222.8128984087</v>
      </c>
      <c r="F41" s="94" t="n">
        <f aca="false">EPV_cancer!$C$7*(Wording_Scores!$F$104*Benefit_b!$F$106*F17 + Wording_Scores!$F$107*Benefit_b!$F$109*F18 + Wording_Scores!$F$37*Benefit_b!$F$39*F20 + Wording_Scores!$F$51*Benefit_b!$F$53*F22 + Wording_Scores!$F$86*Benefit_b!$F$88*F24 + Wording_Scores!$F$137*Benefit_b!$F$139*F26)</f>
        <v>14039.3400391852</v>
      </c>
      <c r="G41" s="94" t="n">
        <f aca="false">EPV_cancer!$C$7*(Wording_Scores!$F$104*Benefit_b!$F$106*G17 + Wording_Scores!$F$107*Benefit_b!$F$109*G18 + Wording_Scores!$F$37*Benefit_b!$F$39*G20 + Wording_Scores!$F$51*Benefit_b!$F$53*G22 + Wording_Scores!$F$86*Benefit_b!$F$88*G24 + Wording_Scores!$F$137*Benefit_b!$F$139*G26)</f>
        <v>14315.2490171364</v>
      </c>
      <c r="H41" s="94" t="n">
        <f aca="false">EPV_cancer!$C$7*(Wording_Scores!$F$104*Benefit_b!$F$106*H17 + Wording_Scores!$F$107*Benefit_b!$F$109*H18 + Wording_Scores!$F$37*Benefit_b!$F$39*H20 + Wording_Scores!$F$51*Benefit_b!$F$53*H22 + Wording_Scores!$F$86*Benefit_b!$F$88*H24 + Wording_Scores!$F$137*Benefit_b!$F$139*H26)</f>
        <v>13223.7443108544</v>
      </c>
    </row>
    <row r="42" customFormat="false" ht="15" hidden="false" customHeight="true" outlineLevel="0" collapsed="false">
      <c r="C42" s="64" t="s">
        <v>268</v>
      </c>
      <c r="D42" s="94" t="n">
        <f aca="false">EPV_cancer!$C$7*(Wording_Scores!$G$104*Benefit_b!$G$106*D17 + Wording_Scores!$G$107*Benefit_b!$G$109*D18 + Wording_Scores!$G$37*Benefit_b!$G$39*D20 + Wording_Scores!$G$51*Benefit_b!$G$53*D22 + Wording_Scores!$G$86*Benefit_b!$G$88*D24 + Wording_Scores!$G$137*Benefit_b!$G$139*D26)</f>
        <v>11661.4658387085</v>
      </c>
      <c r="E42" s="94" t="n">
        <f aca="false">EPV_cancer!$C$7*(Wording_Scores!$G$104*Benefit_b!$G$106*E17 + Wording_Scores!$G$107*Benefit_b!$G$109*E18 + Wording_Scores!$G$37*Benefit_b!$G$39*E20 + Wording_Scores!$G$51*Benefit_b!$G$53*E22 + Wording_Scores!$G$86*Benefit_b!$G$88*E24 + Wording_Scores!$G$137*Benefit_b!$G$139*E26)</f>
        <v>12612.0395188122</v>
      </c>
      <c r="F42" s="94" t="n">
        <f aca="false">EPV_cancer!$C$7*(Wording_Scores!$G$104*Benefit_b!$G$106*F17 + Wording_Scores!$G$107*Benefit_b!$G$109*F18 + Wording_Scores!$G$37*Benefit_b!$G$39*F20 + Wording_Scores!$G$51*Benefit_b!$G$53*F22 + Wording_Scores!$G$86*Benefit_b!$G$88*F24 + Wording_Scores!$G$137*Benefit_b!$G$139*F26)</f>
        <v>13447.2006475097</v>
      </c>
      <c r="G42" s="94" t="n">
        <f aca="false">EPV_cancer!$C$7*(Wording_Scores!$G$104*Benefit_b!$G$106*G17 + Wording_Scores!$G$107*Benefit_b!$G$109*G18 + Wording_Scores!$G$37*Benefit_b!$G$39*G20 + Wording_Scores!$G$51*Benefit_b!$G$53*G22 + Wording_Scores!$G$86*Benefit_b!$G$88*G24 + Wording_Scores!$G$137*Benefit_b!$G$139*G26)</f>
        <v>13916.5403466235</v>
      </c>
      <c r="H42" s="94" t="n">
        <f aca="false">EPV_cancer!$C$7*(Wording_Scores!$G$104*Benefit_b!$G$106*H17 + Wording_Scores!$G$107*Benefit_b!$G$109*H18 + Wording_Scores!$G$37*Benefit_b!$G$39*H20 + Wording_Scores!$G$51*Benefit_b!$G$53*H22 + Wording_Scores!$G$86*Benefit_b!$G$88*H24 + Wording_Scores!$G$137*Benefit_b!$G$139*H26)</f>
        <v>12461.626595302</v>
      </c>
    </row>
    <row r="43" customFormat="false" ht="15" hidden="false" customHeight="true" outlineLevel="0" collapsed="false">
      <c r="C43" s="92" t="s">
        <v>621</v>
      </c>
    </row>
    <row r="44" customFormat="false" ht="15" hidden="false" customHeight="true" outlineLevel="0" collapsed="false">
      <c r="D44" s="93" t="n">
        <v>30</v>
      </c>
      <c r="E44" s="93" t="n">
        <v>35</v>
      </c>
      <c r="F44" s="93" t="n">
        <v>40</v>
      </c>
      <c r="G44" s="93" t="n">
        <v>45</v>
      </c>
      <c r="H44" s="93" t="n">
        <v>50</v>
      </c>
    </row>
    <row r="45" customFormat="false" ht="15" hidden="false" customHeight="true" outlineLevel="0" collapsed="false">
      <c r="C45" s="64" t="s">
        <v>264</v>
      </c>
      <c r="D45" s="94" t="n">
        <f aca="false">Prem_portfolio!E5*12*D5</f>
        <v>15824.0483505997</v>
      </c>
      <c r="E45" s="94" t="n">
        <f aca="false">Prem_portfolio!E6*12*E5</f>
        <v>17501.6260897685</v>
      </c>
      <c r="F45" s="94" t="n">
        <f aca="false">Prem_portfolio!E7*12*F5</f>
        <v>21416.082082549</v>
      </c>
      <c r="G45" s="94" t="n">
        <f aca="false">Prem_portfolio!E8*12*G5</f>
        <v>21893.0969056519</v>
      </c>
      <c r="H45" s="94" t="n">
        <f aca="false">Prem_portfolio!E9*12*H5</f>
        <v>22966.6770373433</v>
      </c>
    </row>
    <row r="46" customFormat="false" ht="15" hidden="false" customHeight="true" outlineLevel="0" collapsed="false">
      <c r="C46" s="64" t="s">
        <v>265</v>
      </c>
      <c r="D46" s="94" t="n">
        <f aca="false">Prem_portfolio!H5*12*D5</f>
        <v>15664.1834332562</v>
      </c>
      <c r="E46" s="94" t="n">
        <f aca="false">Prem_portfolio!H6*12*E5</f>
        <v>18021.4297943565</v>
      </c>
      <c r="F46" s="94" t="n">
        <f aca="false">Prem_portfolio!H7*12*F5</f>
        <v>19182.3234967119</v>
      </c>
      <c r="G46" s="94" t="n">
        <f aca="false">Prem_portfolio!H8*12*G5</f>
        <v>21950.226409116</v>
      </c>
      <c r="H46" s="94" t="n">
        <f aca="false">Prem_portfolio!H9*12*H5</f>
        <v>22499.6650167486</v>
      </c>
    </row>
    <row r="47" customFormat="false" ht="15" hidden="false" customHeight="true" outlineLevel="0" collapsed="false">
      <c r="C47" s="64" t="s">
        <v>266</v>
      </c>
      <c r="D47" s="94" t="n">
        <f aca="false">Prem_portfolio!K5*12*D5</f>
        <v>18776.3923886373</v>
      </c>
      <c r="E47" s="94" t="n">
        <f aca="false">Prem_portfolio!K6*12*E5</f>
        <v>18115.5119128339</v>
      </c>
      <c r="F47" s="94" t="n">
        <f aca="false">Prem_portfolio!K7*12*F5</f>
        <v>16712.442628181</v>
      </c>
      <c r="G47" s="94" t="n">
        <f aca="false">Prem_portfolio!K8*12*G5</f>
        <v>20432.7239733496</v>
      </c>
      <c r="H47" s="94" t="n">
        <f aca="false">Prem_portfolio!K9*12*H5</f>
        <v>21281.9956378975</v>
      </c>
    </row>
    <row r="48" customFormat="false" ht="15" hidden="false" customHeight="true" outlineLevel="0" collapsed="false">
      <c r="C48" s="64" t="s">
        <v>267</v>
      </c>
      <c r="D48" s="94" t="n">
        <f aca="false">Prem_portfolio!N5*12*D5</f>
        <v>15883.3530780013</v>
      </c>
      <c r="E48" s="94" t="n">
        <f aca="false">Prem_portfolio!N6*12*E5</f>
        <v>16892.444372627</v>
      </c>
      <c r="F48" s="94" t="n">
        <f aca="false">Prem_portfolio!N7*12*F5</f>
        <v>18162.6095679106</v>
      </c>
      <c r="G48" s="94" t="n">
        <f aca="false">Prem_portfolio!N8*12*G5</f>
        <v>20084.5910616149</v>
      </c>
      <c r="H48" s="94" t="n">
        <f aca="false">Prem_portfolio!N9*12*H5</f>
        <v>21072.8430151771</v>
      </c>
    </row>
    <row r="49" customFormat="false" ht="15" hidden="false" customHeight="true" outlineLevel="0" collapsed="false">
      <c r="C49" s="64" t="s">
        <v>268</v>
      </c>
      <c r="D49" s="94" t="n">
        <f aca="false">Prem_portfolio!Q5*12*D5</f>
        <v>17814.6244181674</v>
      </c>
      <c r="E49" s="94" t="n">
        <f aca="false">Prem_portfolio!Q6*12*E5</f>
        <v>18270.7474083217</v>
      </c>
      <c r="F49" s="94" t="n">
        <f aca="false">Prem_portfolio!Q7*12*F5</f>
        <v>19731.8824378486</v>
      </c>
      <c r="G49" s="94" t="n">
        <f aca="false">Prem_portfolio!Q8*12*G5</f>
        <v>22412.618327779</v>
      </c>
      <c r="H49" s="94" t="n">
        <f aca="false">Prem_portfolio!Q9*12*H5</f>
        <v>24340.4946071295</v>
      </c>
    </row>
    <row r="50" customFormat="false" ht="15" hidden="false" customHeight="true" outlineLevel="0" collapsed="false">
      <c r="C50" s="92" t="s">
        <v>622</v>
      </c>
    </row>
    <row r="51" customFormat="false" ht="15" hidden="false" customHeight="true" outlineLevel="0" collapsed="false">
      <c r="D51" s="93" t="n">
        <v>30</v>
      </c>
      <c r="E51" s="93" t="n">
        <v>35</v>
      </c>
      <c r="F51" s="93" t="n">
        <v>40</v>
      </c>
      <c r="G51" s="93" t="n">
        <v>45</v>
      </c>
      <c r="H51" s="93" t="n">
        <v>50</v>
      </c>
    </row>
    <row r="52" customFormat="false" ht="15" hidden="false" customHeight="true" outlineLevel="0" collapsed="false">
      <c r="C52" s="64" t="s">
        <v>264</v>
      </c>
      <c r="D52" s="89" t="n">
        <f aca="false">D31/D45</f>
        <v>0.916395657973766</v>
      </c>
      <c r="E52" s="89" t="n">
        <f aca="false">E31/E45</f>
        <v>0.919509279881408</v>
      </c>
      <c r="F52" s="89" t="n">
        <f aca="false">F31/F45</f>
        <v>0.826834929904021</v>
      </c>
      <c r="G52" s="89" t="n">
        <f aca="false">G31/G45</f>
        <v>0.876924615595389</v>
      </c>
      <c r="H52" s="89" t="n">
        <f aca="false">H31/H45</f>
        <v>0.833432277888601</v>
      </c>
    </row>
    <row r="53" customFormat="false" ht="15" hidden="false" customHeight="true" outlineLevel="0" collapsed="false">
      <c r="C53" s="64" t="s">
        <v>265</v>
      </c>
      <c r="D53" s="89" t="n">
        <f aca="false">D32/D46</f>
        <v>0.744911015948749</v>
      </c>
      <c r="E53" s="89" t="n">
        <f aca="false">E32/E46</f>
        <v>0.718557878105294</v>
      </c>
      <c r="F53" s="89" t="n">
        <f aca="false">F32/F46</f>
        <v>0.747678566041692</v>
      </c>
      <c r="G53" s="89" t="n">
        <f aca="false">G32/G46</f>
        <v>0.720015198207908</v>
      </c>
      <c r="H53" s="89" t="n">
        <f aca="false">H32/H46</f>
        <v>0.630060534139293</v>
      </c>
    </row>
    <row r="54" customFormat="false" ht="15" hidden="false" customHeight="true" outlineLevel="0" collapsed="false">
      <c r="C54" s="64" t="s">
        <v>266</v>
      </c>
      <c r="D54" s="89" t="n">
        <f aca="false">D33/D47</f>
        <v>0.343398371548773</v>
      </c>
      <c r="E54" s="89" t="n">
        <f aca="false">E33/E47</f>
        <v>0.394476894825117</v>
      </c>
      <c r="F54" s="89" t="n">
        <f aca="false">F33/F47</f>
        <v>0.473276828083093</v>
      </c>
      <c r="G54" s="89" t="n">
        <f aca="false">G33/G47</f>
        <v>0.426693595835605</v>
      </c>
      <c r="H54" s="89" t="n">
        <f aca="false">H33/H47</f>
        <v>0.363831458531991</v>
      </c>
    </row>
    <row r="55" customFormat="false" ht="15" hidden="false" customHeight="true" outlineLevel="0" collapsed="false">
      <c r="C55" s="64" t="s">
        <v>267</v>
      </c>
      <c r="D55" s="89" t="n">
        <f aca="false">D34/D48</f>
        <v>0.862849704042835</v>
      </c>
      <c r="E55" s="89" t="n">
        <f aca="false">E34/E48</f>
        <v>0.900799806837232</v>
      </c>
      <c r="F55" s="89" t="n">
        <f aca="false">F34/F48</f>
        <v>0.924134947570195</v>
      </c>
      <c r="G55" s="89" t="n">
        <f aca="false">G34/G48</f>
        <v>0.911036464900663</v>
      </c>
      <c r="H55" s="89" t="n">
        <f aca="false">H34/H48</f>
        <v>0.838575663126002</v>
      </c>
    </row>
    <row r="56" customFormat="false" ht="15" hidden="false" customHeight="true" outlineLevel="0" collapsed="false">
      <c r="C56" s="64" t="s">
        <v>268</v>
      </c>
      <c r="D56" s="89" t="n">
        <f aca="false">D35/D49</f>
        <v>0.887507516300948</v>
      </c>
      <c r="E56" s="89" t="n">
        <f aca="false">E35/E49</f>
        <v>0.960343912764177</v>
      </c>
      <c r="F56" s="89" t="n">
        <f aca="false">F35/F49</f>
        <v>0.984184112283315</v>
      </c>
      <c r="G56" s="89" t="n">
        <f aca="false">G35/G49</f>
        <v>0.953183873022695</v>
      </c>
      <c r="H56" s="89" t="n">
        <f aca="false">H35/H49</f>
        <v>0.796361966497863</v>
      </c>
    </row>
    <row r="57" customFormat="false" ht="15" hidden="false" customHeight="true" outlineLevel="0" collapsed="false">
      <c r="C57" s="92" t="s">
        <v>623</v>
      </c>
    </row>
    <row r="58" customFormat="false" ht="15" hidden="false" customHeight="true" outlineLevel="0" collapsed="false">
      <c r="D58" s="93" t="n">
        <v>30</v>
      </c>
      <c r="E58" s="93" t="n">
        <v>35</v>
      </c>
      <c r="F58" s="93" t="n">
        <v>40</v>
      </c>
      <c r="G58" s="93" t="n">
        <v>45</v>
      </c>
      <c r="H58" s="93" t="n">
        <v>50</v>
      </c>
    </row>
    <row r="59" customFormat="false" ht="15" hidden="false" customHeight="true" outlineLevel="0" collapsed="false">
      <c r="C59" s="64" t="s">
        <v>264</v>
      </c>
      <c r="D59" s="89" t="n">
        <f aca="false">D38/D45</f>
        <v>0.935454555591722</v>
      </c>
      <c r="E59" s="89" t="n">
        <f aca="false">E38/E45</f>
        <v>0.91477001077408</v>
      </c>
      <c r="F59" s="89" t="n">
        <f aca="false">F38/F45</f>
        <v>0.791907602164906</v>
      </c>
      <c r="G59" s="89" t="n">
        <f aca="false">G38/G45</f>
        <v>0.78653790589183</v>
      </c>
      <c r="H59" s="89" t="n">
        <f aca="false">H38/H45</f>
        <v>0.69635754717106</v>
      </c>
    </row>
    <row r="60" customFormat="false" ht="15" hidden="false" customHeight="true" outlineLevel="0" collapsed="false">
      <c r="C60" s="64" t="s">
        <v>265</v>
      </c>
      <c r="D60" s="89" t="n">
        <f aca="false">D39/D46</f>
        <v>0.528879662967356</v>
      </c>
      <c r="E60" s="89" t="n">
        <f aca="false">E39/E46</f>
        <v>0.497324650711378</v>
      </c>
      <c r="F60" s="89" t="n">
        <f aca="false">F39/F46</f>
        <v>0.498806724878712</v>
      </c>
      <c r="G60" s="89" t="n">
        <f aca="false">G39/G46</f>
        <v>0.452560443297838</v>
      </c>
      <c r="H60" s="89" t="n">
        <f aca="false">H39/H46</f>
        <v>0.392991417964421</v>
      </c>
    </row>
    <row r="61" customFormat="false" ht="15" hidden="false" customHeight="true" outlineLevel="0" collapsed="false">
      <c r="C61" s="64" t="s">
        <v>266</v>
      </c>
      <c r="D61" s="89" t="n">
        <f aca="false">D40/D47</f>
        <v>0.244108251880913</v>
      </c>
      <c r="E61" s="89" t="n">
        <f aca="false">E40/E47</f>
        <v>0.273150148668976</v>
      </c>
      <c r="F61" s="89" t="n">
        <f aca="false">F40/F47</f>
        <v>0.315968965267714</v>
      </c>
      <c r="G61" s="89" t="n">
        <f aca="false">G40/G47</f>
        <v>0.269022043103333</v>
      </c>
      <c r="H61" s="89" t="n">
        <f aca="false">H40/H47</f>
        <v>0.227781939280107</v>
      </c>
    </row>
    <row r="62" customFormat="false" ht="15" hidden="false" customHeight="true" outlineLevel="0" collapsed="false">
      <c r="C62" s="64" t="s">
        <v>267</v>
      </c>
      <c r="D62" s="89" t="n">
        <f aca="false">D41/D48</f>
        <v>0.768657442277393</v>
      </c>
      <c r="E62" s="89" t="n">
        <f aca="false">E41/E48</f>
        <v>0.782764921803461</v>
      </c>
      <c r="F62" s="89" t="n">
        <f aca="false">F41/F48</f>
        <v>0.772980335600543</v>
      </c>
      <c r="G62" s="89" t="n">
        <f aca="false">G41/G48</f>
        <v>0.712747846008937</v>
      </c>
      <c r="H62" s="89" t="n">
        <f aca="false">H41/H48</f>
        <v>0.627525403256235</v>
      </c>
    </row>
    <row r="63" customFormat="false" ht="15" hidden="false" customHeight="true" outlineLevel="0" collapsed="false">
      <c r="C63" s="64" t="s">
        <v>268</v>
      </c>
      <c r="D63" s="89" t="n">
        <f aca="false">D42/D49</f>
        <v>0.654600712592969</v>
      </c>
      <c r="E63" s="89" t="n">
        <f aca="false">E42/E49</f>
        <v>0.690285910967593</v>
      </c>
      <c r="F63" s="89" t="n">
        <f aca="false">F42/F49</f>
        <v>0.681496085832946</v>
      </c>
      <c r="G63" s="89" t="n">
        <f aca="false">G42/G49</f>
        <v>0.620924344630222</v>
      </c>
      <c r="H63" s="89" t="n">
        <f aca="false">H42/H49</f>
        <v>0.511970968398149</v>
      </c>
    </row>
    <row r="64" customFormat="false" ht="15" hidden="false" customHeight="true" outlineLevel="0" collapsed="false">
      <c r="C64" s="95" t="s">
        <v>624</v>
      </c>
    </row>
    <row r="65" customFormat="false" ht="15" hidden="false" customHeight="true" outlineLevel="0" collapsed="false">
      <c r="C65" s="91" t="n">
        <f aca="false">E52-Fair_value!F11</f>
        <v>0</v>
      </c>
      <c r="D65" s="91" t="n">
        <f aca="false">E53-Fair_value!F12</f>
        <v>0</v>
      </c>
      <c r="E65" s="91" t="n">
        <f aca="false">E54-Fair_value!F13</f>
        <v>0</v>
      </c>
      <c r="F65" s="91" t="n">
        <f aca="false">E55-Fair_value!F14</f>
        <v>0</v>
      </c>
      <c r="G65" s="91" t="n">
        <f aca="false">E56-Fair_value!F15</f>
        <v>0</v>
      </c>
    </row>
    <row r="66" customFormat="false" ht="15" hidden="false" customHeight="true" outlineLevel="0" collapsed="false">
      <c r="C66" s="95" t="s">
        <v>625</v>
      </c>
    </row>
    <row r="67" customFormat="false" ht="15" hidden="false" customHeight="true" outlineLevel="0" collapsed="false">
      <c r="C67" s="91" t="n">
        <f aca="false">E59-Fair_value!G11</f>
        <v>0</v>
      </c>
      <c r="D67" s="91" t="n">
        <f aca="false">E60-Fair_value!G12</f>
        <v>0</v>
      </c>
      <c r="E67" s="91" t="n">
        <f aca="false">E61-Fair_value!G13</f>
        <v>0</v>
      </c>
      <c r="F67" s="91" t="n">
        <f aca="false">E62-Fair_value!G14</f>
        <v>0</v>
      </c>
      <c r="G67" s="91" t="n">
        <f aca="false">E63-Fair_value!G15</f>
        <v>0</v>
      </c>
    </row>
    <row r="70" customFormat="false" ht="15" hidden="false" customHeight="true" outlineLevel="0" collapsed="false">
      <c r="C70" s="68" t="s">
        <v>626</v>
      </c>
      <c r="D70" s="96" t="n">
        <v>155831</v>
      </c>
      <c r="E70" s="96" t="n">
        <v>181494</v>
      </c>
      <c r="F70" s="96" t="n">
        <v>195943</v>
      </c>
      <c r="G70" s="96" t="n">
        <v>179647</v>
      </c>
      <c r="H70" s="96" t="n">
        <v>160508</v>
      </c>
      <c r="J70" s="63" t="s">
        <v>627</v>
      </c>
    </row>
    <row r="71" customFormat="false" ht="15" hidden="false" customHeight="true" outlineLevel="0" collapsed="false">
      <c r="C71" s="68" t="s">
        <v>628</v>
      </c>
      <c r="D71" s="96" t="n">
        <v>163136</v>
      </c>
      <c r="E71" s="96" t="n">
        <v>197232</v>
      </c>
      <c r="F71" s="96" t="n">
        <v>204498</v>
      </c>
      <c r="G71" s="96" t="n">
        <v>183297</v>
      </c>
      <c r="H71" s="96" t="n">
        <v>161545</v>
      </c>
    </row>
    <row r="73" customFormat="false" ht="15" hidden="false" customHeight="true" outlineLevel="0" collapsed="false">
      <c r="C73" s="92" t="s">
        <v>629</v>
      </c>
    </row>
    <row r="74" customFormat="false" ht="15" hidden="false" customHeight="true" outlineLevel="0" collapsed="false">
      <c r="C74" s="83" t="s">
        <v>259</v>
      </c>
      <c r="D74" s="83" t="s">
        <v>630</v>
      </c>
      <c r="E74" s="83" t="s">
        <v>631</v>
      </c>
      <c r="F74" s="83" t="s">
        <v>632</v>
      </c>
      <c r="G74" s="83" t="s">
        <v>633</v>
      </c>
      <c r="H74" s="83" t="s">
        <v>634</v>
      </c>
    </row>
    <row r="75" customFormat="false" ht="15" hidden="false" customHeight="true" outlineLevel="0" collapsed="false">
      <c r="C75" s="64" t="s">
        <v>264</v>
      </c>
      <c r="D75" s="97" t="n">
        <f aca="false">SUMPRODUCT(D52:H52,$D$70:$H$70)/SUM($D$70:$H$70)</f>
        <v>0.873586120548575</v>
      </c>
      <c r="E75" s="97" t="n">
        <f aca="false">SUMPRODUCT(D59:H59,$D$71:$H$71)/SUM($D$71:$H$71)</f>
        <v>0.8262375096927</v>
      </c>
      <c r="F75" s="97" t="n">
        <f aca="false">(SUMPRODUCT(D52:H52,$D$70:$H$70)+SUMPRODUCT(D59:H59,$D$71:$H$71))/(SUM($D$70:$H$70)+SUM($D$71:$H$71))</f>
        <v>0.849430065786207</v>
      </c>
      <c r="G75" s="97" t="n">
        <f aca="false">D75-E75</f>
        <v>0.0473486108558749</v>
      </c>
      <c r="H75" s="97" t="n">
        <f aca="false">(AVERAGE(D52:H52)+AVERAGE(D59:H59))/2</f>
        <v>0.849812438283678</v>
      </c>
    </row>
    <row r="76" customFormat="false" ht="15" hidden="false" customHeight="true" outlineLevel="0" collapsed="false">
      <c r="C76" s="64" t="s">
        <v>265</v>
      </c>
      <c r="D76" s="97" t="n">
        <f aca="false">SUMPRODUCT(D53:H53,$D$70:$H$70)/SUM($D$70:$H$70)</f>
        <v>0.713829244074343</v>
      </c>
      <c r="E76" s="97" t="n">
        <f aca="false">SUMPRODUCT(D60:H60,$D$71:$H$71)/SUM($D$71:$H$71)</f>
        <v>0.475769583230468</v>
      </c>
      <c r="F76" s="97" t="n">
        <f aca="false">(SUMPRODUCT(D53:H53,$D$70:$H$70)+SUMPRODUCT(D60:H60,$D$71:$H$71))/(SUM($D$70:$H$70)+SUM($D$71:$H$71))</f>
        <v>0.592377271141922</v>
      </c>
      <c r="G76" s="97" t="n">
        <f aca="false">D76-E76</f>
        <v>0.238059660843875</v>
      </c>
      <c r="H76" s="97" t="n">
        <f aca="false">(AVERAGE(D53:H53)+AVERAGE(D60:H60))/2</f>
        <v>0.593178609226264</v>
      </c>
    </row>
    <row r="77" customFormat="false" ht="15" hidden="false" customHeight="true" outlineLevel="0" collapsed="false">
      <c r="C77" s="64" t="s">
        <v>266</v>
      </c>
      <c r="D77" s="97" t="n">
        <f aca="false">SUMPRODUCT(D54:H54,$D$70:$H$70)/SUM($D$70:$H$70)</f>
        <v>0.404036379701959</v>
      </c>
      <c r="E77" s="97" t="n">
        <f aca="false">SUMPRODUCT(D61:H61,$D$71:$H$71)/SUM($D$71:$H$71)</f>
        <v>0.268679380830066</v>
      </c>
      <c r="F77" s="97" t="n">
        <f aca="false">(SUMPRODUCT(D54:H54,$D$70:$H$70)+SUMPRODUCT(D61:H61,$D$71:$H$71))/(SUM($D$70:$H$70)+SUM($D$71:$H$71))</f>
        <v>0.334980687927349</v>
      </c>
      <c r="G77" s="97" t="n">
        <f aca="false">D77-E77</f>
        <v>0.135356998871893</v>
      </c>
      <c r="H77" s="97" t="n">
        <f aca="false">(AVERAGE(D54:H54)+AVERAGE(D61:H61))/2</f>
        <v>0.333170849702562</v>
      </c>
    </row>
    <row r="78" customFormat="false" ht="15" hidden="false" customHeight="true" outlineLevel="0" collapsed="false">
      <c r="C78" s="64" t="s">
        <v>267</v>
      </c>
      <c r="D78" s="97" t="n">
        <f aca="false">SUMPRODUCT(D55:H55,$D$70:$H$70)/SUM($D$70:$H$70)</f>
        <v>0.889934586965995</v>
      </c>
      <c r="E78" s="97" t="n">
        <f aca="false">SUMPRODUCT(D62:H62,$D$71:$H$71)/SUM($D$71:$H$71)</f>
        <v>0.736360521649885</v>
      </c>
      <c r="F78" s="97" t="n">
        <f aca="false">(SUMPRODUCT(D55:H55,$D$70:$H$70)+SUMPRODUCT(D62:H62,$D$71:$H$71))/(SUM($D$70:$H$70)+SUM($D$71:$H$71))</f>
        <v>0.811585012083057</v>
      </c>
      <c r="G78" s="97" t="n">
        <f aca="false">D78-E78</f>
        <v>0.15357406531611</v>
      </c>
      <c r="H78" s="97" t="n">
        <f aca="false">(AVERAGE(D55:H55)+AVERAGE(D62:H62))/2</f>
        <v>0.81020725354235</v>
      </c>
    </row>
    <row r="79" customFormat="false" ht="15" hidden="false" customHeight="true" outlineLevel="0" collapsed="false">
      <c r="C79" s="64" t="s">
        <v>268</v>
      </c>
      <c r="D79" s="97" t="n">
        <f aca="false">SUMPRODUCT(D56:H56,$D$70:$H$70)/SUM($D$70:$H$70)</f>
        <v>0.921089688666993</v>
      </c>
      <c r="E79" s="97" t="n">
        <f aca="false">SUMPRODUCT(D63:H63,$D$71:$H$71)/SUM($D$71:$H$71)</f>
        <v>0.636270010695473</v>
      </c>
      <c r="F79" s="97" t="n">
        <f aca="false">(SUMPRODUCT(D56:H56,$D$70:$H$70)+SUMPRODUCT(D63:H63,$D$71:$H$71))/(SUM($D$70:$H$70)+SUM($D$71:$H$71))</f>
        <v>0.775781946494312</v>
      </c>
      <c r="G79" s="97" t="n">
        <f aca="false">D79-E79</f>
        <v>0.28481967797152</v>
      </c>
      <c r="H79" s="97" t="n">
        <f aca="false">(AVERAGE(D56:H56)+AVERAGE(D63:H63))/2</f>
        <v>0.774085940329088</v>
      </c>
    </row>
    <row r="85" customFormat="false" ht="15" hidden="false" customHeight="false" outlineLevel="0" collapsed="false">
      <c r="C85" s="1" t="s">
        <v>635</v>
      </c>
    </row>
    <row r="86" customFormat="false" ht="15" hidden="false" customHeight="false" outlineLevel="0" collapsed="false">
      <c r="C86" s="1" t="str">
        <f aca="false">C52</f>
        <v>Office B</v>
      </c>
      <c r="D86" s="1" t="n">
        <f aca="false">AVERAGE(D52:H52)</f>
        <v>0.874619352248637</v>
      </c>
      <c r="E86" s="1" t="n">
        <f aca="false">AVERAGE(D59:H59)</f>
        <v>0.825005524318719</v>
      </c>
      <c r="F86" s="1" t="n">
        <f aca="false">(D86+E86)/2</f>
        <v>0.849812438283678</v>
      </c>
      <c r="G86" s="1" t="n">
        <f aca="false">D86-E86</f>
        <v>0.0496138279299176</v>
      </c>
      <c r="H86" s="1" t="n">
        <f aca="false">MAX(ABS(D86-D75),ABS(E86-E75),ABS(F86-F75),ABS(G86-G75))</f>
        <v>0.0022652170740427</v>
      </c>
      <c r="I86" s="0" t="str">
        <f aca="false">IF(H86&lt;=0.0105,"OK","CHECK")</f>
        <v>OK</v>
      </c>
    </row>
    <row r="87" customFormat="false" ht="15" hidden="false" customHeight="false" outlineLevel="0" collapsed="false">
      <c r="C87" s="1" t="str">
        <f aca="false">C53</f>
        <v>Office D</v>
      </c>
      <c r="D87" s="1" t="n">
        <f aca="false">AVERAGE(D53:H53)</f>
        <v>0.712244638488587</v>
      </c>
      <c r="E87" s="1" t="n">
        <f aca="false">AVERAGE(D60:H60)</f>
        <v>0.474112579963941</v>
      </c>
      <c r="F87" s="1" t="n">
        <f aca="false">(D87+E87)/2</f>
        <v>0.593178609226264</v>
      </c>
      <c r="G87" s="1" t="n">
        <f aca="false">D87-E87</f>
        <v>0.238132058524646</v>
      </c>
      <c r="H87" s="1" t="n">
        <f aca="false">MAX(ABS(D87-D76),ABS(E87-E76),ABS(F87-F76),ABS(G87-G76))</f>
        <v>0.00165700326652646</v>
      </c>
      <c r="I87" s="0" t="str">
        <f aca="false">IF(H87&lt;=0.0105,"OK","CHECK")</f>
        <v>OK</v>
      </c>
    </row>
    <row r="88" customFormat="false" ht="15" hidden="false" customHeight="false" outlineLevel="0" collapsed="false">
      <c r="C88" s="1" t="str">
        <f aca="false">C54</f>
        <v>Office E</v>
      </c>
      <c r="D88" s="1" t="n">
        <f aca="false">AVERAGE(D54:H54)</f>
        <v>0.400335429764916</v>
      </c>
      <c r="E88" s="1" t="n">
        <f aca="false">AVERAGE(D61:H61)</f>
        <v>0.266006269640208</v>
      </c>
      <c r="F88" s="1" t="n">
        <f aca="false">(D88+E88)/2</f>
        <v>0.333170849702562</v>
      </c>
      <c r="G88" s="1" t="n">
        <f aca="false">D88-E88</f>
        <v>0.134329160124707</v>
      </c>
      <c r="H88" s="1" t="n">
        <f aca="false">MAX(ABS(D88-D77),ABS(E88-E77),ABS(F88-F77),ABS(G88-G77))</f>
        <v>0.00370094993704284</v>
      </c>
      <c r="I88" s="0" t="str">
        <f aca="false">IF(H88&lt;=0.0105,"OK","CHECK")</f>
        <v>OK</v>
      </c>
    </row>
    <row r="89" customFormat="false" ht="15" hidden="false" customHeight="false" outlineLevel="0" collapsed="false">
      <c r="C89" s="1" t="str">
        <f aca="false">C55</f>
        <v>Office A</v>
      </c>
      <c r="D89" s="1" t="n">
        <f aca="false">AVERAGE(D55:H55)</f>
        <v>0.887479317295385</v>
      </c>
      <c r="E89" s="1" t="n">
        <f aca="false">AVERAGE(D62:H62)</f>
        <v>0.732935189789314</v>
      </c>
      <c r="F89" s="1" t="n">
        <f aca="false">(D89+E89)/2</f>
        <v>0.81020725354235</v>
      </c>
      <c r="G89" s="1" t="n">
        <f aca="false">D89-E89</f>
        <v>0.154544127506071</v>
      </c>
      <c r="H89" s="1" t="n">
        <f aca="false">MAX(ABS(D89-D78),ABS(E89-E78),ABS(F89-F78),ABS(G89-G78))</f>
        <v>0.00342533186057115</v>
      </c>
      <c r="I89" s="0" t="str">
        <f aca="false">IF(H89&lt;=0.0105,"OK","CHECK")</f>
        <v>OK</v>
      </c>
    </row>
    <row r="90" customFormat="false" ht="15" hidden="false" customHeight="false" outlineLevel="0" collapsed="false">
      <c r="C90" s="1" t="str">
        <f aca="false">C56</f>
        <v>Office C</v>
      </c>
      <c r="D90" s="1" t="n">
        <f aca="false">AVERAGE(D56:H56)</f>
        <v>0.9163162761738</v>
      </c>
      <c r="E90" s="1" t="n">
        <f aca="false">AVERAGE(D63:H63)</f>
        <v>0.631855604484376</v>
      </c>
      <c r="F90" s="1" t="n">
        <f aca="false">(D90+E90)/2</f>
        <v>0.774085940329088</v>
      </c>
      <c r="G90" s="1" t="n">
        <f aca="false">D90-E90</f>
        <v>0.284460671689424</v>
      </c>
      <c r="H90" s="1" t="n">
        <f aca="false">MAX(ABS(D90-D79),ABS(E90-E79),ABS(F90-F79),ABS(G90-G79))</f>
        <v>0.00477341249319352</v>
      </c>
      <c r="I90" s="0" t="str">
        <f aca="false">IF(H90&lt;=0.0105,"OK","CHECK")</f>
        <v>OK</v>
      </c>
    </row>
    <row r="91" customFormat="false" ht="15" hidden="false" customHeight="false" outlineLevel="0" collapsed="false">
      <c r="C91" s="1" t="s">
        <v>636</v>
      </c>
      <c r="I91" s="0" t="str">
        <f aca="false">IF(COUNTIF(I86:I90,"CHECK")=0,"OK","CHECK")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637</v>
      </c>
    </row>
    <row r="2" customFormat="false" ht="15" hidden="false" customHeight="true" outlineLevel="0" collapsed="false">
      <c r="A2" s="1" t="s">
        <v>638</v>
      </c>
    </row>
    <row r="3" customFormat="false" ht="15" hidden="false" customHeight="true" outlineLevel="0" collapsed="false">
      <c r="A3" s="1" t="s">
        <v>639</v>
      </c>
    </row>
    <row r="5" customFormat="false" ht="15" hidden="false" customHeight="true" outlineLevel="0" collapsed="false">
      <c r="A5" s="1" t="s">
        <v>640</v>
      </c>
      <c r="B5" s="1" t="s">
        <v>641</v>
      </c>
      <c r="C5" s="1" t="s">
        <v>642</v>
      </c>
      <c r="D5" s="1" t="s">
        <v>643</v>
      </c>
      <c r="E5" s="1" t="s">
        <v>644</v>
      </c>
      <c r="F5" s="1" t="s">
        <v>645</v>
      </c>
    </row>
    <row r="6" customFormat="false" ht="15" hidden="false" customHeight="true" outlineLevel="0" collapsed="false">
      <c r="A6" s="1" t="s">
        <v>264</v>
      </c>
      <c r="B6" s="1" t="n">
        <v>0.873586120548575</v>
      </c>
      <c r="C6" s="1" t="n">
        <v>0.843879224917168</v>
      </c>
      <c r="D6" s="1" t="n">
        <v>0.85843041936282</v>
      </c>
      <c r="E6" s="1" t="n">
        <v>0.0297068956314073</v>
      </c>
      <c r="F6" s="1" t="n">
        <v>0.858612003966254</v>
      </c>
    </row>
    <row r="7" customFormat="false" ht="15" hidden="false" customHeight="true" outlineLevel="0" collapsed="false">
      <c r="A7" s="1" t="s">
        <v>265</v>
      </c>
      <c r="B7" s="1" t="n">
        <v>0.713829244074343</v>
      </c>
      <c r="C7" s="1" t="n">
        <v>0.487498067055615</v>
      </c>
      <c r="D7" s="1" t="n">
        <v>0.598360844734444</v>
      </c>
      <c r="E7" s="1" t="n">
        <v>0.226331177018728</v>
      </c>
      <c r="F7" s="1" t="n">
        <v>0.599019527546857</v>
      </c>
    </row>
    <row r="8" customFormat="false" ht="15" hidden="false" customHeight="true" outlineLevel="0" collapsed="false">
      <c r="A8" s="1" t="s">
        <v>266</v>
      </c>
      <c r="B8" s="1" t="n">
        <v>0.404036379701959</v>
      </c>
      <c r="C8" s="1" t="n">
        <v>0.27670621994317</v>
      </c>
      <c r="D8" s="1" t="n">
        <v>0.339075776709891</v>
      </c>
      <c r="E8" s="1" t="n">
        <v>0.127330159758789</v>
      </c>
      <c r="F8" s="1" t="n">
        <v>0.337143850387858</v>
      </c>
    </row>
    <row r="9" customFormat="false" ht="15" hidden="false" customHeight="true" outlineLevel="0" collapsed="false">
      <c r="A9" s="1" t="s">
        <v>267</v>
      </c>
      <c r="B9" s="1" t="n">
        <v>0.889934586965995</v>
      </c>
      <c r="C9" s="1" t="n">
        <v>0.752848823955804</v>
      </c>
      <c r="D9" s="1" t="n">
        <v>0.819996923778896</v>
      </c>
      <c r="E9" s="1" t="n">
        <v>0.13708576301019</v>
      </c>
      <c r="F9" s="1" t="n">
        <v>0.818406711080331</v>
      </c>
    </row>
    <row r="10" customFormat="false" ht="15" hidden="false" customHeight="true" outlineLevel="0" collapsed="false">
      <c r="A10" s="1" t="s">
        <v>268</v>
      </c>
      <c r="B10" s="1" t="n">
        <v>0.921089688666993</v>
      </c>
      <c r="C10" s="1" t="n">
        <v>0.636270010695473</v>
      </c>
      <c r="D10" s="1" t="n">
        <v>0.775781946494312</v>
      </c>
      <c r="E10" s="1" t="n">
        <v>0.28481967797152</v>
      </c>
      <c r="F10" s="1" t="n">
        <v>0.774085940329088</v>
      </c>
    </row>
    <row r="11" customFormat="false" ht="15" hidden="false" customHeight="true" outlineLevel="0" collapsed="false">
      <c r="A11" s="1" t="s">
        <v>646</v>
      </c>
    </row>
    <row r="12" customFormat="false" ht="15" hidden="false" customHeight="true" outlineLevel="0" collapsed="false">
      <c r="A12" s="1" t="s">
        <v>264</v>
      </c>
      <c r="B12" s="89" t="n">
        <f aca="false">Portfolio!D75</f>
        <v>0.873586120548575</v>
      </c>
      <c r="C12" s="89" t="n">
        <f aca="false">Portfolio!E75</f>
        <v>0.8262375096927</v>
      </c>
      <c r="D12" s="89" t="n">
        <f aca="false">Portfolio!F75</f>
        <v>0.849430065786207</v>
      </c>
      <c r="E12" s="89" t="n">
        <f aca="false">Portfolio!G75</f>
        <v>0.0473486108558749</v>
      </c>
      <c r="F12" s="89" t="n">
        <f aca="false">Portfolio!H75</f>
        <v>0.849812438283678</v>
      </c>
    </row>
    <row r="13" customFormat="false" ht="15" hidden="false" customHeight="true" outlineLevel="0" collapsed="false">
      <c r="A13" s="1" t="s">
        <v>265</v>
      </c>
      <c r="B13" s="89" t="n">
        <f aca="false">Portfolio!D76</f>
        <v>0.713829244074343</v>
      </c>
      <c r="C13" s="89" t="n">
        <f aca="false">Portfolio!E76</f>
        <v>0.475769583230468</v>
      </c>
      <c r="D13" s="89" t="n">
        <f aca="false">Portfolio!F76</f>
        <v>0.592377271141922</v>
      </c>
      <c r="E13" s="89" t="n">
        <f aca="false">Portfolio!G76</f>
        <v>0.238059660843875</v>
      </c>
      <c r="F13" s="89" t="n">
        <f aca="false">Portfolio!H76</f>
        <v>0.593178609226264</v>
      </c>
    </row>
    <row r="14" customFormat="false" ht="15" hidden="false" customHeight="true" outlineLevel="0" collapsed="false">
      <c r="A14" s="1" t="s">
        <v>266</v>
      </c>
      <c r="B14" s="89" t="n">
        <f aca="false">Portfolio!D77</f>
        <v>0.404036379701959</v>
      </c>
      <c r="C14" s="89" t="n">
        <f aca="false">Portfolio!E77</f>
        <v>0.268679380830066</v>
      </c>
      <c r="D14" s="89" t="n">
        <f aca="false">Portfolio!F77</f>
        <v>0.334980687927349</v>
      </c>
      <c r="E14" s="89" t="n">
        <f aca="false">Portfolio!G77</f>
        <v>0.135356998871893</v>
      </c>
      <c r="F14" s="89" t="n">
        <f aca="false">Portfolio!H77</f>
        <v>0.333170849702562</v>
      </c>
    </row>
    <row r="15" customFormat="false" ht="15" hidden="false" customHeight="true" outlineLevel="0" collapsed="false">
      <c r="A15" s="1" t="s">
        <v>267</v>
      </c>
      <c r="B15" s="89" t="n">
        <f aca="false">Portfolio!D78</f>
        <v>0.889934586965995</v>
      </c>
      <c r="C15" s="89" t="n">
        <f aca="false">Portfolio!E78</f>
        <v>0.736360521649885</v>
      </c>
      <c r="D15" s="89" t="n">
        <f aca="false">Portfolio!F78</f>
        <v>0.811585012083057</v>
      </c>
      <c r="E15" s="89" t="n">
        <f aca="false">Portfolio!G78</f>
        <v>0.15357406531611</v>
      </c>
      <c r="F15" s="89" t="n">
        <f aca="false">Portfolio!H78</f>
        <v>0.81020725354235</v>
      </c>
    </row>
    <row r="16" customFormat="false" ht="15" hidden="false" customHeight="true" outlineLevel="0" collapsed="false">
      <c r="A16" s="1" t="s">
        <v>268</v>
      </c>
      <c r="B16" s="89" t="n">
        <f aca="false">Portfolio!D79</f>
        <v>0.921089688666993</v>
      </c>
      <c r="C16" s="89" t="n">
        <f aca="false">Portfolio!E79</f>
        <v>0.636270010695473</v>
      </c>
      <c r="D16" s="89" t="n">
        <f aca="false">Portfolio!F79</f>
        <v>0.775781946494312</v>
      </c>
      <c r="E16" s="89" t="n">
        <f aca="false">Portfolio!G79</f>
        <v>0.28481967797152</v>
      </c>
      <c r="F16" s="89" t="n">
        <f aca="false">Portfolio!H79</f>
        <v>0.774085940329088</v>
      </c>
    </row>
    <row r="17" customFormat="false" ht="15" hidden="false" customHeight="true" outlineLevel="0" collapsed="false">
      <c r="A17" s="1" t="s">
        <v>647</v>
      </c>
    </row>
    <row r="18" customFormat="false" ht="15" hidden="false" customHeight="true" outlineLevel="0" collapsed="false">
      <c r="A18" s="1" t="s">
        <v>264</v>
      </c>
      <c r="B18" s="1" t="n">
        <f aca="false">ABS(B12-B6)</f>
        <v>0</v>
      </c>
      <c r="C18" s="1" t="n">
        <f aca="false">ABS(C12-C6)</f>
        <v>0.0176417152244678</v>
      </c>
      <c r="D18" s="1" t="n">
        <f aca="false">ABS(D12-D6)</f>
        <v>0.00900035357661311</v>
      </c>
      <c r="E18" s="1" t="n">
        <f aca="false">ABS(E12-E6)</f>
        <v>0.0176417152244676</v>
      </c>
      <c r="F18" s="1" t="n">
        <f aca="false">ABS(F12-F6)</f>
        <v>0.00879956568257578</v>
      </c>
      <c r="G18" s="1" t="str">
        <f aca="false">IF(SUMPRODUCT(--(ABS(B18:F18)&gt;0.000001))=0,"OK","CHECK")</f>
        <v>CHECK</v>
      </c>
    </row>
    <row r="19" customFormat="false" ht="15" hidden="false" customHeight="true" outlineLevel="0" collapsed="false">
      <c r="A19" s="1" t="s">
        <v>265</v>
      </c>
      <c r="B19" s="1" t="n">
        <f aca="false">ABS(B13-B7)</f>
        <v>0</v>
      </c>
      <c r="C19" s="1" t="n">
        <f aca="false">ABS(C13-C7)</f>
        <v>0.0117284838251475</v>
      </c>
      <c r="D19" s="1" t="n">
        <f aca="false">ABS(D13-D7)</f>
        <v>0.00598357359252189</v>
      </c>
      <c r="E19" s="1" t="n">
        <f aca="false">ABS(E13-E7)</f>
        <v>0.0117284838251473</v>
      </c>
      <c r="F19" s="1" t="n">
        <f aca="false">ABS(F13-F7)</f>
        <v>0.00584091832059286</v>
      </c>
      <c r="G19" s="1" t="str">
        <f aca="false">IF(SUMPRODUCT(--(ABS(B19:F19)&gt;0.000001))=0,"OK","CHECK")</f>
        <v>CHECK</v>
      </c>
    </row>
    <row r="20" customFormat="false" ht="15" hidden="false" customHeight="true" outlineLevel="0" collapsed="false">
      <c r="A20" s="1" t="s">
        <v>266</v>
      </c>
      <c r="B20" s="1" t="n">
        <f aca="false">ABS(B14-B8)</f>
        <v>0</v>
      </c>
      <c r="C20" s="1" t="n">
        <f aca="false">ABS(C14-C8)</f>
        <v>0.0080268391131042</v>
      </c>
      <c r="D20" s="1" t="n">
        <f aca="false">ABS(D14-D8)</f>
        <v>0.00409508878254222</v>
      </c>
      <c r="E20" s="1" t="n">
        <f aca="false">ABS(E14-E8)</f>
        <v>0.00802683911310378</v>
      </c>
      <c r="F20" s="1" t="n">
        <f aca="false">ABS(F14-F8)</f>
        <v>0.00397300068529588</v>
      </c>
      <c r="G20" s="1" t="str">
        <f aca="false">IF(SUMPRODUCT(--(ABS(B20:F20)&gt;0.000001))=0,"OK","CHECK")</f>
        <v>CHECK</v>
      </c>
    </row>
    <row r="21" customFormat="false" ht="15" hidden="false" customHeight="true" outlineLevel="0" collapsed="false">
      <c r="A21" s="1" t="s">
        <v>267</v>
      </c>
      <c r="B21" s="1" t="n">
        <f aca="false">ABS(B15-B9)</f>
        <v>0</v>
      </c>
      <c r="C21" s="1" t="n">
        <f aca="false">ABS(C15-C9)</f>
        <v>0.0164883023059189</v>
      </c>
      <c r="D21" s="1" t="n">
        <f aca="false">ABS(D15-D9)</f>
        <v>0.00841191169583888</v>
      </c>
      <c r="E21" s="1" t="n">
        <f aca="false">ABS(E15-E9)</f>
        <v>0.0164883023059195</v>
      </c>
      <c r="F21" s="1" t="n">
        <f aca="false">ABS(F15-F9)</f>
        <v>0.00819945753798146</v>
      </c>
      <c r="G21" s="1" t="str">
        <f aca="false">IF(SUMPRODUCT(--(ABS(B21:F21)&gt;0.000001))=0,"OK","CHECK")</f>
        <v>CHECK</v>
      </c>
    </row>
    <row r="22" customFormat="false" ht="15" hidden="false" customHeight="true" outlineLevel="0" collapsed="false">
      <c r="A22" s="1" t="s">
        <v>268</v>
      </c>
      <c r="B22" s="1" t="n">
        <f aca="false">ABS(B16-B10)</f>
        <v>0</v>
      </c>
      <c r="C22" s="1" t="n">
        <f aca="false">ABS(C16-C10)</f>
        <v>0</v>
      </c>
      <c r="D22" s="1" t="n">
        <f aca="false">ABS(D16-D10)</f>
        <v>0</v>
      </c>
      <c r="E22" s="1" t="n">
        <f aca="false">ABS(E16-E10)</f>
        <v>0</v>
      </c>
      <c r="F22" s="1" t="n">
        <f aca="false">ABS(F16-F10)</f>
        <v>0</v>
      </c>
      <c r="G22" s="1" t="str">
        <f aca="false">IF(SUMPRODUCT(--(ABS(B22:F22)&gt;0.000001))=0,"OK","CHECK")</f>
        <v>OK</v>
      </c>
    </row>
    <row r="24" customFormat="false" ht="15" hidden="false" customHeight="true" outlineLevel="0" collapsed="false">
      <c r="A24" s="1" t="s">
        <v>648</v>
      </c>
    </row>
    <row r="25" customFormat="false" ht="15" hidden="false" customHeight="true" outlineLevel="0" collapsed="false">
      <c r="B25" s="1" t="s">
        <v>649</v>
      </c>
      <c r="C25" s="1" t="s">
        <v>650</v>
      </c>
      <c r="D25" s="1" t="s">
        <v>651</v>
      </c>
      <c r="E25" s="1" t="s">
        <v>652</v>
      </c>
      <c r="F25" s="1" t="s">
        <v>653</v>
      </c>
    </row>
    <row r="26" customFormat="false" ht="15" hidden="false" customHeight="true" outlineLevel="0" collapsed="false">
      <c r="A26" s="1" t="s">
        <v>654</v>
      </c>
      <c r="B26" s="1" t="n">
        <v>16193.1103217662</v>
      </c>
      <c r="C26" s="1" t="n">
        <v>17970.8670775076</v>
      </c>
      <c r="D26" s="1" t="n">
        <v>19801.0777148245</v>
      </c>
      <c r="E26" s="1" t="n">
        <v>21541.9941739318</v>
      </c>
      <c r="F26" s="1" t="n">
        <v>21021.5522455123</v>
      </c>
    </row>
    <row r="27" customFormat="false" ht="15" hidden="false" customHeight="true" outlineLevel="0" collapsed="false">
      <c r="A27" s="1" t="s">
        <v>655</v>
      </c>
      <c r="B27" s="1" t="n">
        <v>11668.4227952744</v>
      </c>
      <c r="C27" s="1" t="n">
        <v>12949.4403534563</v>
      </c>
      <c r="D27" s="1" t="n">
        <v>14342.2121253694</v>
      </c>
      <c r="E27" s="1" t="n">
        <v>15804.4966186681</v>
      </c>
      <c r="F27" s="1" t="n">
        <v>14176.1509584078</v>
      </c>
    </row>
    <row r="28" customFormat="false" ht="15" hidden="false" customHeight="true" outlineLevel="0" collapsed="false">
      <c r="A28" s="1" t="s">
        <v>656</v>
      </c>
      <c r="B28" s="1" t="n">
        <v>4142.19027592753</v>
      </c>
      <c r="C28" s="1" t="n">
        <v>4596.76070177733</v>
      </c>
      <c r="D28" s="1" t="n">
        <v>5077.59307540336</v>
      </c>
      <c r="E28" s="1" t="n">
        <v>5558.84972358369</v>
      </c>
      <c r="F28" s="1" t="n">
        <v>5207.69319245646</v>
      </c>
    </row>
    <row r="29" customFormat="false" ht="15" hidden="false" customHeight="true" outlineLevel="0" collapsed="false">
      <c r="A29" s="1" t="s">
        <v>657</v>
      </c>
      <c r="B29" s="1" t="n">
        <v>14318.5176747429</v>
      </c>
      <c r="C29" s="1" t="n">
        <v>15888.1413386851</v>
      </c>
      <c r="D29" s="1" t="n">
        <v>17523.2080146805</v>
      </c>
      <c r="E29" s="1" t="n">
        <v>19114.05899532</v>
      </c>
      <c r="F29" s="1" t="n">
        <v>18326.1573396061</v>
      </c>
    </row>
    <row r="30" customFormat="false" ht="15" hidden="false" customHeight="true" outlineLevel="0" collapsed="false">
      <c r="A30" s="1" t="s">
        <v>658</v>
      </c>
      <c r="B30" s="1" t="n">
        <v>15810.613071202</v>
      </c>
      <c r="C30" s="1" t="n">
        <v>17546.2010552337</v>
      </c>
      <c r="D30" s="1" t="n">
        <v>19419.8052007728</v>
      </c>
      <c r="E30" s="1" t="n">
        <v>21363.3463422518</v>
      </c>
      <c r="F30" s="1" t="n">
        <v>19383.8441508643</v>
      </c>
    </row>
    <row r="31" customFormat="false" ht="15" hidden="false" customHeight="true" outlineLevel="0" collapsed="false">
      <c r="A31" s="1" t="s">
        <v>659</v>
      </c>
      <c r="B31" s="1" t="n">
        <v>15796.7101356626</v>
      </c>
      <c r="C31" s="1" t="n">
        <v>17103.1442291988</v>
      </c>
      <c r="D31" s="1" t="n">
        <v>18151.6859698029</v>
      </c>
      <c r="E31" s="1" t="n">
        <v>18498.6104157542</v>
      </c>
      <c r="F31" s="1" t="n">
        <v>17072.6393259055</v>
      </c>
    </row>
    <row r="32" customFormat="false" ht="15" hidden="false" customHeight="true" outlineLevel="0" collapsed="false">
      <c r="A32" s="1" t="s">
        <v>660</v>
      </c>
      <c r="B32" s="1" t="n">
        <v>8710.9044348065</v>
      </c>
      <c r="C32" s="1" t="n">
        <v>9449.83525796936</v>
      </c>
      <c r="D32" s="1" t="n">
        <v>10103.0428758648</v>
      </c>
      <c r="E32" s="1" t="n">
        <v>10483.0634210542</v>
      </c>
      <c r="F32" s="1" t="n">
        <v>9360.29038816648</v>
      </c>
    </row>
    <row r="33" customFormat="false" ht="15" hidden="false" customHeight="true" outlineLevel="0" collapsed="false">
      <c r="A33" s="1" t="s">
        <v>661</v>
      </c>
      <c r="B33" s="1" t="n">
        <v>3577.5591863194</v>
      </c>
      <c r="C33" s="1" t="n">
        <v>3878.74098054689</v>
      </c>
      <c r="D33" s="1" t="n">
        <v>4130.44195083997</v>
      </c>
      <c r="E33" s="1" t="n">
        <v>4241.06355135865</v>
      </c>
      <c r="F33" s="1" t="n">
        <v>3863.13105509081</v>
      </c>
    </row>
    <row r="34" customFormat="false" ht="15" hidden="false" customHeight="true" outlineLevel="0" collapsed="false">
      <c r="A34" s="1" t="s">
        <v>662</v>
      </c>
      <c r="B34" s="1" t="n">
        <v>12897.8768028657</v>
      </c>
      <c r="C34" s="1" t="n">
        <v>13972.982552157</v>
      </c>
      <c r="D34" s="1" t="n">
        <v>14846.5460273902</v>
      </c>
      <c r="E34" s="1" t="n">
        <v>15164.3472686814</v>
      </c>
      <c r="F34" s="1" t="n">
        <v>13951.36183397</v>
      </c>
    </row>
    <row r="35" customFormat="false" ht="15" hidden="false" customHeight="true" outlineLevel="0" collapsed="false">
      <c r="A35" s="1" t="s">
        <v>663</v>
      </c>
      <c r="B35" s="1" t="n">
        <v>11661.4658387085</v>
      </c>
      <c r="C35" s="1" t="n">
        <v>12612.0395188122</v>
      </c>
      <c r="D35" s="1" t="n">
        <v>13447.2006475097</v>
      </c>
      <c r="E35" s="1" t="n">
        <v>13916.5403466235</v>
      </c>
      <c r="F35" s="1" t="n">
        <v>12461.626595302</v>
      </c>
    </row>
    <row r="36" customFormat="false" ht="15" hidden="false" customHeight="true" outlineLevel="0" collapsed="false">
      <c r="A36" s="1" t="s">
        <v>646</v>
      </c>
    </row>
    <row r="37" customFormat="false" ht="15" hidden="false" customHeight="true" outlineLevel="0" collapsed="false">
      <c r="A37" s="1" t="s">
        <v>654</v>
      </c>
      <c r="B37" s="94" t="n">
        <f aca="false">Portfolio!D31</f>
        <v>14501.0892000565</v>
      </c>
      <c r="C37" s="94" t="n">
        <f aca="false">Portfolio!E31</f>
        <v>16092.9076025567</v>
      </c>
      <c r="D37" s="94" t="n">
        <f aca="false">Portfolio!F31</f>
        <v>17707.5647275432</v>
      </c>
      <c r="E37" s="94" t="n">
        <f aca="false">Portfolio!G31</f>
        <v>19198.5955881814</v>
      </c>
      <c r="F37" s="94" t="n">
        <f aca="false">Portfolio!H31</f>
        <v>19141.1699587648</v>
      </c>
    </row>
    <row r="38" customFormat="false" ht="15" hidden="false" customHeight="true" outlineLevel="0" collapsed="false">
      <c r="A38" s="1" t="s">
        <v>655</v>
      </c>
      <c r="B38" s="94" t="n">
        <f aca="false">Portfolio!D32</f>
        <v>11668.4227952744</v>
      </c>
      <c r="C38" s="94" t="n">
        <f aca="false">Portfolio!E32</f>
        <v>12949.4403534563</v>
      </c>
      <c r="D38" s="94" t="n">
        <f aca="false">Portfolio!F32</f>
        <v>14342.2121253694</v>
      </c>
      <c r="E38" s="94" t="n">
        <f aca="false">Portfolio!G32</f>
        <v>15804.4966186681</v>
      </c>
      <c r="F38" s="94" t="n">
        <f aca="false">Portfolio!H32</f>
        <v>14176.1509584078</v>
      </c>
    </row>
    <row r="39" customFormat="false" ht="15" hidden="false" customHeight="true" outlineLevel="0" collapsed="false">
      <c r="A39" s="1" t="s">
        <v>656</v>
      </c>
      <c r="B39" s="94" t="n">
        <f aca="false">Portfolio!D33</f>
        <v>6447.78256981882</v>
      </c>
      <c r="C39" s="94" t="n">
        <f aca="false">Portfolio!E33</f>
        <v>7146.15088754215</v>
      </c>
      <c r="D39" s="94" t="n">
        <f aca="false">Portfolio!F33</f>
        <v>7909.61183658617</v>
      </c>
      <c r="E39" s="94" t="n">
        <f aca="false">Portfolio!G33</f>
        <v>8718.51246490491</v>
      </c>
      <c r="F39" s="94" t="n">
        <f aca="false">Portfolio!H33</f>
        <v>7743.0595134077</v>
      </c>
    </row>
    <row r="40" customFormat="false" ht="15" hidden="false" customHeight="true" outlineLevel="0" collapsed="false">
      <c r="A40" s="1" t="s">
        <v>657</v>
      </c>
      <c r="B40" s="94" t="n">
        <f aca="false">Portfolio!D34</f>
        <v>13704.9465025613</v>
      </c>
      <c r="C40" s="94" t="n">
        <f aca="false">Portfolio!E34</f>
        <v>15216.7106278711</v>
      </c>
      <c r="D40" s="94" t="n">
        <f aca="false">Portfolio!F34</f>
        <v>16784.702240779</v>
      </c>
      <c r="E40" s="94" t="n">
        <f aca="false">Portfolio!G34</f>
        <v>18297.7948397491</v>
      </c>
      <c r="F40" s="94" t="n">
        <f aca="false">Portfolio!H34</f>
        <v>17671.1733054023</v>
      </c>
    </row>
    <row r="41" customFormat="false" ht="15" hidden="false" customHeight="true" outlineLevel="0" collapsed="false">
      <c r="A41" s="1" t="s">
        <v>658</v>
      </c>
      <c r="B41" s="94" t="n">
        <f aca="false">Portfolio!D35</f>
        <v>15810.613071202</v>
      </c>
      <c r="C41" s="94" t="n">
        <f aca="false">Portfolio!E35</f>
        <v>17546.2010552337</v>
      </c>
      <c r="D41" s="94" t="n">
        <f aca="false">Portfolio!F35</f>
        <v>19419.8052007728</v>
      </c>
      <c r="E41" s="94" t="n">
        <f aca="false">Portfolio!G35</f>
        <v>21363.3463422518</v>
      </c>
      <c r="F41" s="94" t="n">
        <f aca="false">Portfolio!H35</f>
        <v>19383.8441508643</v>
      </c>
    </row>
    <row r="42" customFormat="false" ht="15" hidden="false" customHeight="true" outlineLevel="0" collapsed="false">
      <c r="A42" s="1" t="s">
        <v>659</v>
      </c>
      <c r="B42" s="94" t="n">
        <f aca="false">Portfolio!D38</f>
        <v>14802.6781174722</v>
      </c>
      <c r="C42" s="94" t="n">
        <f aca="false">Portfolio!E38</f>
        <v>16009.9626867015</v>
      </c>
      <c r="D42" s="94" t="n">
        <f aca="false">Portfolio!F38</f>
        <v>16959.5582097582</v>
      </c>
      <c r="E42" s="94" t="n">
        <f aca="false">Portfolio!G38</f>
        <v>17219.7505936583</v>
      </c>
      <c r="F42" s="94" t="n">
        <f aca="false">Portfolio!H38</f>
        <v>15993.0188883943</v>
      </c>
    </row>
    <row r="43" customFormat="false" ht="15" hidden="false" customHeight="true" outlineLevel="0" collapsed="false">
      <c r="A43" s="1" t="s">
        <v>660</v>
      </c>
      <c r="B43" s="94" t="n">
        <f aca="false">Portfolio!D39</f>
        <v>8284.46805483937</v>
      </c>
      <c r="C43" s="94" t="n">
        <f aca="false">Portfolio!E39</f>
        <v>8962.50127779795</v>
      </c>
      <c r="D43" s="94" t="n">
        <f aca="false">Portfolio!F39</f>
        <v>9568.27195895881</v>
      </c>
      <c r="E43" s="94" t="n">
        <f aca="false">Portfolio!G39</f>
        <v>9933.80419419746</v>
      </c>
      <c r="F43" s="94" t="n">
        <f aca="false">Portfolio!H39</f>
        <v>8842.17525865652</v>
      </c>
    </row>
    <row r="44" customFormat="false" ht="15" hidden="false" customHeight="true" outlineLevel="0" collapsed="false">
      <c r="A44" s="1" t="s">
        <v>661</v>
      </c>
      <c r="B44" s="94" t="n">
        <f aca="false">Portfolio!D40</f>
        <v>4583.47232262033</v>
      </c>
      <c r="C44" s="94" t="n">
        <f aca="false">Portfolio!E40</f>
        <v>4948.2547722052</v>
      </c>
      <c r="D44" s="94" t="n">
        <f aca="false">Portfolio!F40</f>
        <v>5280.61320432238</v>
      </c>
      <c r="E44" s="94" t="n">
        <f aca="false">Portfolio!G40</f>
        <v>5496.85314947696</v>
      </c>
      <c r="F44" s="94" t="n">
        <f aca="false">Portfolio!H40</f>
        <v>4847.65423815105</v>
      </c>
    </row>
    <row r="45" customFormat="false" ht="15" hidden="false" customHeight="true" outlineLevel="0" collapsed="false">
      <c r="A45" s="1" t="s">
        <v>662</v>
      </c>
      <c r="B45" s="94" t="n">
        <f aca="false">Portfolio!D41</f>
        <v>12208.8575517253</v>
      </c>
      <c r="C45" s="94" t="n">
        <f aca="false">Portfolio!E41</f>
        <v>13222.8128984087</v>
      </c>
      <c r="D45" s="94" t="n">
        <f aca="false">Portfolio!F41</f>
        <v>14039.3400391852</v>
      </c>
      <c r="E45" s="94" t="n">
        <f aca="false">Portfolio!G41</f>
        <v>14315.2490171364</v>
      </c>
      <c r="F45" s="94" t="n">
        <f aca="false">Portfolio!H41</f>
        <v>13223.7443108544</v>
      </c>
    </row>
    <row r="46" customFormat="false" ht="15" hidden="false" customHeight="true" outlineLevel="0" collapsed="false">
      <c r="A46" s="1" t="s">
        <v>663</v>
      </c>
      <c r="B46" s="94" t="n">
        <f aca="false">Portfolio!D42</f>
        <v>11661.4658387085</v>
      </c>
      <c r="C46" s="94" t="n">
        <f aca="false">Portfolio!E42</f>
        <v>12612.0395188122</v>
      </c>
      <c r="D46" s="94" t="n">
        <f aca="false">Portfolio!F42</f>
        <v>13447.2006475097</v>
      </c>
      <c r="E46" s="94" t="n">
        <f aca="false">Portfolio!G42</f>
        <v>13916.5403466235</v>
      </c>
      <c r="F46" s="94" t="n">
        <f aca="false">Portfolio!H42</f>
        <v>12461.626595302</v>
      </c>
    </row>
    <row r="48" customFormat="false" ht="15" hidden="false" customHeight="true" outlineLevel="0" collapsed="false">
      <c r="A48" s="1" t="s">
        <v>647</v>
      </c>
    </row>
    <row r="49" customFormat="false" ht="15" hidden="false" customHeight="true" outlineLevel="0" collapsed="false">
      <c r="A49" s="1" t="s">
        <v>654</v>
      </c>
      <c r="B49" s="1" t="n">
        <f aca="false">ABS(B37-B26)</f>
        <v>1692.0211217097</v>
      </c>
      <c r="C49" s="1" t="n">
        <f aca="false">ABS(C37-C26)</f>
        <v>1877.95947495087</v>
      </c>
      <c r="D49" s="1" t="n">
        <f aca="false">ABS(D37-D26)</f>
        <v>2093.51298728133</v>
      </c>
      <c r="E49" s="1" t="n">
        <f aca="false">ABS(E37-E26)</f>
        <v>2343.3985857504</v>
      </c>
      <c r="F49" s="1" t="n">
        <f aca="false">ABS(F37-F26)</f>
        <v>1880.38228674745</v>
      </c>
      <c r="G49" s="1" t="str">
        <f aca="false">IF(SUMPRODUCT(--(ABS(B49:F49)&gt;0.005))=0,"OK","CHECK")</f>
        <v>CHECK</v>
      </c>
    </row>
    <row r="50" customFormat="false" ht="15" hidden="false" customHeight="true" outlineLevel="0" collapsed="false">
      <c r="A50" s="1" t="s">
        <v>655</v>
      </c>
      <c r="B50" s="1" t="n">
        <f aca="false">ABS(B38-B27)</f>
        <v>0</v>
      </c>
      <c r="C50" s="1" t="n">
        <f aca="false">ABS(C38-C27)</f>
        <v>0</v>
      </c>
      <c r="D50" s="1" t="n">
        <f aca="false">ABS(D38-D27)</f>
        <v>0</v>
      </c>
      <c r="E50" s="1" t="n">
        <f aca="false">ABS(E38-E27)</f>
        <v>0</v>
      </c>
      <c r="F50" s="1" t="n">
        <f aca="false">ABS(F38-F27)</f>
        <v>0</v>
      </c>
      <c r="G50" s="1" t="str">
        <f aca="false">IF(SUMPRODUCT(--(ABS(B50:F50)&gt;0.005))=0,"OK","CHECK")</f>
        <v>OK</v>
      </c>
    </row>
    <row r="51" customFormat="false" ht="15" hidden="false" customHeight="true" outlineLevel="0" collapsed="false">
      <c r="A51" s="1" t="s">
        <v>656</v>
      </c>
      <c r="B51" s="1" t="n">
        <f aca="false">ABS(B39-B28)</f>
        <v>2305.59229389129</v>
      </c>
      <c r="C51" s="1" t="n">
        <f aca="false">ABS(C39-C28)</f>
        <v>2549.39018576482</v>
      </c>
      <c r="D51" s="1" t="n">
        <f aca="false">ABS(D39-D28)</f>
        <v>2832.01876118281</v>
      </c>
      <c r="E51" s="1" t="n">
        <f aca="false">ABS(E39-E28)</f>
        <v>3159.66274132121</v>
      </c>
      <c r="F51" s="1" t="n">
        <f aca="false">ABS(F39-F28)</f>
        <v>2535.36632095124</v>
      </c>
      <c r="G51" s="1" t="str">
        <f aca="false">IF(SUMPRODUCT(--(ABS(B51:F51)&gt;0.005))=0,"OK","CHECK")</f>
        <v>CHECK</v>
      </c>
    </row>
    <row r="52" customFormat="false" ht="15" hidden="false" customHeight="true" outlineLevel="0" collapsed="false">
      <c r="A52" s="1" t="s">
        <v>657</v>
      </c>
      <c r="B52" s="1" t="n">
        <f aca="false">ABS(B40-B29)</f>
        <v>613.571172181599</v>
      </c>
      <c r="C52" s="1" t="n">
        <f aca="false">ABS(C40-C29)</f>
        <v>671.430710813993</v>
      </c>
      <c r="D52" s="1" t="n">
        <f aca="false">ABS(D40-D29)</f>
        <v>738.505773901492</v>
      </c>
      <c r="E52" s="1" t="n">
        <f aca="false">ABS(E40-E29)</f>
        <v>816.264155570887</v>
      </c>
      <c r="F52" s="1" t="n">
        <f aca="false">ABS(F40-F29)</f>
        <v>654.984034203801</v>
      </c>
      <c r="G52" s="1" t="str">
        <f aca="false">IF(SUMPRODUCT(--(ABS(B52:F52)&gt;0.005))=0,"OK","CHECK")</f>
        <v>CHECK</v>
      </c>
    </row>
    <row r="53" customFormat="false" ht="15" hidden="false" customHeight="true" outlineLevel="0" collapsed="false">
      <c r="A53" s="1" t="s">
        <v>658</v>
      </c>
      <c r="B53" s="1" t="n">
        <f aca="false">ABS(B41-B30)</f>
        <v>0</v>
      </c>
      <c r="C53" s="1" t="n">
        <f aca="false">ABS(C41-C30)</f>
        <v>0</v>
      </c>
      <c r="D53" s="1" t="n">
        <f aca="false">ABS(D41-D30)</f>
        <v>0</v>
      </c>
      <c r="E53" s="1" t="n">
        <f aca="false">ABS(E41-E30)</f>
        <v>0</v>
      </c>
      <c r="F53" s="1" t="n">
        <f aca="false">ABS(F41-F30)</f>
        <v>0</v>
      </c>
      <c r="G53" s="1" t="str">
        <f aca="false">IF(SUMPRODUCT(--(ABS(B53:F53)&gt;0.005))=0,"OK","CHECK")</f>
        <v>OK</v>
      </c>
    </row>
    <row r="54" customFormat="false" ht="15" hidden="false" customHeight="true" outlineLevel="0" collapsed="false">
      <c r="A54" s="1" t="s">
        <v>659</v>
      </c>
      <c r="B54" s="1" t="n">
        <f aca="false">ABS(B42-B31)</f>
        <v>994.03201819043</v>
      </c>
      <c r="C54" s="1" t="n">
        <f aca="false">ABS(C42-C31)</f>
        <v>1093.18154249731</v>
      </c>
      <c r="D54" s="1" t="n">
        <f aca="false">ABS(D42-D31)</f>
        <v>1192.12776004472</v>
      </c>
      <c r="E54" s="1" t="n">
        <f aca="false">ABS(E42-E31)</f>
        <v>1278.85982209585</v>
      </c>
      <c r="F54" s="1" t="n">
        <f aca="false">ABS(F42-F31)</f>
        <v>1079.62043751122</v>
      </c>
      <c r="G54" s="1" t="str">
        <f aca="false">IF(SUMPRODUCT(--(ABS(B54:F54)&gt;0.005))=0,"OK","CHECK")</f>
        <v>CHECK</v>
      </c>
    </row>
    <row r="55" customFormat="false" ht="15" hidden="false" customHeight="true" outlineLevel="0" collapsed="false">
      <c r="A55" s="1" t="s">
        <v>660</v>
      </c>
      <c r="B55" s="1" t="n">
        <f aca="false">ABS(B43-B32)</f>
        <v>426.436379967126</v>
      </c>
      <c r="C55" s="1" t="n">
        <f aca="false">ABS(C43-C32)</f>
        <v>487.333980171408</v>
      </c>
      <c r="D55" s="1" t="n">
        <f aca="false">ABS(D43-D32)</f>
        <v>534.770916905993</v>
      </c>
      <c r="E55" s="1" t="n">
        <f aca="false">ABS(E43-E32)</f>
        <v>549.259226856735</v>
      </c>
      <c r="F55" s="1" t="n">
        <f aca="false">ABS(F43-F32)</f>
        <v>518.115129509957</v>
      </c>
      <c r="G55" s="1" t="str">
        <f aca="false">IF(SUMPRODUCT(--(ABS(B55:F55)&gt;0.005))=0,"OK","CHECK")</f>
        <v>CHECK</v>
      </c>
    </row>
    <row r="56" customFormat="false" ht="15" hidden="false" customHeight="true" outlineLevel="0" collapsed="false">
      <c r="A56" s="1" t="s">
        <v>661</v>
      </c>
      <c r="B56" s="1" t="n">
        <f aca="false">ABS(B44-B33)</f>
        <v>1005.91313630093</v>
      </c>
      <c r="C56" s="1" t="n">
        <f aca="false">ABS(C44-C33)</f>
        <v>1069.51379165831</v>
      </c>
      <c r="D56" s="1" t="n">
        <f aca="false">ABS(D44-D33)</f>
        <v>1150.17125348241</v>
      </c>
      <c r="E56" s="1" t="n">
        <f aca="false">ABS(E44-E33)</f>
        <v>1255.78959811831</v>
      </c>
      <c r="F56" s="1" t="n">
        <f aca="false">ABS(F44-F33)</f>
        <v>984.523183060244</v>
      </c>
      <c r="G56" s="1" t="str">
        <f aca="false">IF(SUMPRODUCT(--(ABS(B56:F56)&gt;0.005))=0,"OK","CHECK")</f>
        <v>CHECK</v>
      </c>
    </row>
    <row r="57" customFormat="false" ht="15" hidden="false" customHeight="true" outlineLevel="0" collapsed="false">
      <c r="A57" s="1" t="s">
        <v>662</v>
      </c>
      <c r="B57" s="1" t="n">
        <f aca="false">ABS(B45-B34)</f>
        <v>689.01925114044</v>
      </c>
      <c r="C57" s="1" t="n">
        <f aca="false">ABS(C45-C34)</f>
        <v>750.169653748286</v>
      </c>
      <c r="D57" s="1" t="n">
        <f aca="false">ABS(D45-D34)</f>
        <v>807.205988205011</v>
      </c>
      <c r="E57" s="1" t="n">
        <f aca="false">ABS(E45-E34)</f>
        <v>849.098251545005</v>
      </c>
      <c r="F57" s="1" t="n">
        <f aca="false">ABS(F45-F34)</f>
        <v>727.61752311563</v>
      </c>
      <c r="G57" s="1" t="str">
        <f aca="false">IF(SUMPRODUCT(--(ABS(B57:F57)&gt;0.005))=0,"OK","CHECK")</f>
        <v>CHECK</v>
      </c>
    </row>
    <row r="58" customFormat="false" ht="15" hidden="false" customHeight="true" outlineLevel="0" collapsed="false">
      <c r="A58" s="1" t="s">
        <v>663</v>
      </c>
      <c r="B58" s="1" t="n">
        <f aca="false">ABS(B46-B35)</f>
        <v>0</v>
      </c>
      <c r="C58" s="1" t="n">
        <f aca="false">ABS(C46-C35)</f>
        <v>0</v>
      </c>
      <c r="D58" s="1" t="n">
        <f aca="false">ABS(D46-D35)</f>
        <v>0</v>
      </c>
      <c r="E58" s="1" t="n">
        <f aca="false">ABS(E46-E35)</f>
        <v>0</v>
      </c>
      <c r="F58" s="1" t="n">
        <f aca="false">ABS(F46-F35)</f>
        <v>0</v>
      </c>
      <c r="G58" s="1" t="str">
        <f aca="false">IF(SUMPRODUCT(--(ABS(B58:F58)&gt;0.005))=0,"OK","CHECK")</f>
        <v>OK</v>
      </c>
    </row>
    <row r="61" customFormat="false" ht="15" hidden="false" customHeight="true" outlineLevel="0" collapsed="false">
      <c r="A61" s="1" t="s">
        <v>664</v>
      </c>
      <c r="B61" s="1" t="s">
        <v>89</v>
      </c>
      <c r="C61" s="1" t="s">
        <v>86</v>
      </c>
      <c r="D61" s="1" t="s">
        <v>260</v>
      </c>
      <c r="E61" s="1" t="s">
        <v>70</v>
      </c>
      <c r="F61" s="1" t="s">
        <v>128</v>
      </c>
      <c r="G61" s="1" t="s">
        <v>72</v>
      </c>
      <c r="H61" s="1" t="s">
        <v>261</v>
      </c>
      <c r="I61" s="1" t="s">
        <v>262</v>
      </c>
      <c r="J61" s="1" t="s">
        <v>263</v>
      </c>
    </row>
    <row r="62" customFormat="false" ht="15" hidden="false" customHeight="true" outlineLevel="0" collapsed="false">
      <c r="A62" s="1" t="s">
        <v>264</v>
      </c>
      <c r="B62" s="1" t="n">
        <v>49</v>
      </c>
      <c r="C62" s="1" t="n">
        <v>24</v>
      </c>
      <c r="D62" s="1" t="n">
        <v>0</v>
      </c>
      <c r="E62" s="1" t="n">
        <v>1</v>
      </c>
      <c r="F62" s="1" t="n">
        <v>0</v>
      </c>
      <c r="G62" s="1" t="n">
        <v>61</v>
      </c>
      <c r="H62" s="1" t="n">
        <v>135</v>
      </c>
      <c r="I62" s="1" t="n">
        <v>2.52592592592593</v>
      </c>
      <c r="J62" s="1" t="n">
        <v>0.207407407407407</v>
      </c>
    </row>
    <row r="63" customFormat="false" ht="15" hidden="false" customHeight="true" outlineLevel="0" collapsed="false">
      <c r="A63" s="1" t="s">
        <v>265</v>
      </c>
      <c r="B63" s="1" t="n">
        <v>69</v>
      </c>
      <c r="C63" s="1" t="n">
        <v>0</v>
      </c>
      <c r="D63" s="1" t="n">
        <v>0</v>
      </c>
      <c r="E63" s="1" t="n">
        <v>14</v>
      </c>
      <c r="F63" s="1" t="n">
        <v>1</v>
      </c>
      <c r="G63" s="1" t="n">
        <v>51</v>
      </c>
      <c r="H63" s="1" t="n">
        <v>135</v>
      </c>
      <c r="I63" s="1" t="n">
        <v>2.95555555555556</v>
      </c>
      <c r="J63" s="1" t="n">
        <v>0.22962962962963</v>
      </c>
    </row>
    <row r="64" customFormat="false" ht="15" hidden="false" customHeight="true" outlineLevel="0" collapsed="false">
      <c r="A64" s="1" t="s">
        <v>266</v>
      </c>
      <c r="B64" s="1" t="n">
        <v>45</v>
      </c>
      <c r="C64" s="1" t="n">
        <v>17</v>
      </c>
      <c r="D64" s="1" t="n">
        <v>0</v>
      </c>
      <c r="E64" s="1" t="n">
        <v>2</v>
      </c>
      <c r="F64" s="1" t="n">
        <v>1</v>
      </c>
      <c r="G64" s="1" t="n">
        <v>70</v>
      </c>
      <c r="H64" s="1" t="n">
        <v>135</v>
      </c>
      <c r="I64" s="1" t="n">
        <v>4.76296296296296</v>
      </c>
      <c r="J64" s="1" t="n">
        <v>0</v>
      </c>
    </row>
    <row r="65" customFormat="false" ht="15" hidden="false" customHeight="true" outlineLevel="0" collapsed="false">
      <c r="A65" s="1" t="s">
        <v>267</v>
      </c>
      <c r="B65" s="1" t="n">
        <v>56</v>
      </c>
      <c r="C65" s="1" t="n">
        <v>48</v>
      </c>
      <c r="D65" s="1" t="n">
        <v>0</v>
      </c>
      <c r="E65" s="1" t="n">
        <v>4</v>
      </c>
      <c r="F65" s="1" t="n">
        <v>1</v>
      </c>
      <c r="G65" s="1" t="n">
        <v>26</v>
      </c>
      <c r="H65" s="1" t="n">
        <v>135</v>
      </c>
      <c r="I65" s="1" t="n">
        <v>2.2</v>
      </c>
      <c r="J65" s="1" t="n">
        <v>0.281481481481482</v>
      </c>
    </row>
    <row r="66" customFormat="false" ht="15" hidden="false" customHeight="true" outlineLevel="0" collapsed="false">
      <c r="A66" s="1" t="s">
        <v>268</v>
      </c>
      <c r="B66" s="1" t="n">
        <v>47</v>
      </c>
      <c r="C66" s="1" t="n">
        <v>20</v>
      </c>
      <c r="D66" s="1" t="n">
        <v>0</v>
      </c>
      <c r="E66" s="1" t="n">
        <v>4</v>
      </c>
      <c r="F66" s="1" t="n">
        <v>5</v>
      </c>
      <c r="G66" s="1" t="n">
        <v>59</v>
      </c>
      <c r="H66" s="1" t="n">
        <v>135</v>
      </c>
      <c r="I66" s="1" t="n">
        <v>2.55555555555556</v>
      </c>
      <c r="J66" s="1" t="n">
        <v>0.281481481481482</v>
      </c>
    </row>
    <row r="68" customFormat="false" ht="15" hidden="false" customHeight="true" outlineLevel="0" collapsed="false">
      <c r="A68" s="1" t="s">
        <v>646</v>
      </c>
    </row>
    <row r="69" customFormat="false" ht="15" hidden="false" customHeight="true" outlineLevel="0" collapsed="false">
      <c r="A69" s="1" t="s">
        <v>264</v>
      </c>
      <c r="B69" s="1" t="n">
        <f aca="false">Coverage_Summary!C6</f>
        <v>49</v>
      </c>
      <c r="C69" s="1" t="n">
        <f aca="false">Coverage_Summary!D6</f>
        <v>41</v>
      </c>
      <c r="D69" s="1" t="n">
        <f aca="false">Coverage_Summary!E6</f>
        <v>0</v>
      </c>
      <c r="E69" s="1" t="n">
        <f aca="false">Coverage_Summary!F6</f>
        <v>1</v>
      </c>
      <c r="F69" s="1" t="n">
        <f aca="false">Coverage_Summary!G6</f>
        <v>0</v>
      </c>
      <c r="G69" s="1" t="n">
        <f aca="false">Coverage_Summary!H6</f>
        <v>44</v>
      </c>
      <c r="H69" s="1" t="n">
        <f aca="false">Coverage_Summary!I6</f>
        <v>135</v>
      </c>
      <c r="I69" s="98" t="n">
        <f aca="false">Coverage_Summary!J6</f>
        <v>2.54814814814815</v>
      </c>
      <c r="J69" s="99" t="n">
        <f aca="false">Coverage_Summary!K6</f>
        <v>0.207407407407407</v>
      </c>
    </row>
    <row r="70" customFormat="false" ht="15" hidden="false" customHeight="true" outlineLevel="0" collapsed="false">
      <c r="A70" s="1" t="s">
        <v>265</v>
      </c>
      <c r="B70" s="1" t="n">
        <f aca="false">Coverage_Summary!C7</f>
        <v>46</v>
      </c>
      <c r="C70" s="1" t="n">
        <f aca="false">Coverage_Summary!D7</f>
        <v>38</v>
      </c>
      <c r="D70" s="1" t="n">
        <f aca="false">Coverage_Summary!E7</f>
        <v>0</v>
      </c>
      <c r="E70" s="1" t="n">
        <f aca="false">Coverage_Summary!F7</f>
        <v>14</v>
      </c>
      <c r="F70" s="1" t="n">
        <f aca="false">Coverage_Summary!G7</f>
        <v>1</v>
      </c>
      <c r="G70" s="1" t="n">
        <f aca="false">Coverage_Summary!H7</f>
        <v>36</v>
      </c>
      <c r="H70" s="1" t="n">
        <f aca="false">Coverage_Summary!I7</f>
        <v>135</v>
      </c>
      <c r="I70" s="98" t="n">
        <f aca="false">Coverage_Summary!J7</f>
        <v>2.74814814814815</v>
      </c>
      <c r="J70" s="99" t="n">
        <f aca="false">Coverage_Summary!K7</f>
        <v>0.22962962962963</v>
      </c>
    </row>
    <row r="71" customFormat="false" ht="15" hidden="false" customHeight="true" outlineLevel="0" collapsed="false">
      <c r="A71" s="1" t="s">
        <v>266</v>
      </c>
      <c r="B71" s="1" t="n">
        <f aca="false">Coverage_Summary!C8</f>
        <v>54</v>
      </c>
      <c r="C71" s="1" t="n">
        <f aca="false">Coverage_Summary!D8</f>
        <v>34</v>
      </c>
      <c r="D71" s="1" t="n">
        <f aca="false">Coverage_Summary!E8</f>
        <v>0</v>
      </c>
      <c r="E71" s="1" t="n">
        <f aca="false">Coverage_Summary!F8</f>
        <v>2</v>
      </c>
      <c r="F71" s="1" t="n">
        <f aca="false">Coverage_Summary!G8</f>
        <v>1</v>
      </c>
      <c r="G71" s="1" t="n">
        <f aca="false">Coverage_Summary!H8</f>
        <v>44</v>
      </c>
      <c r="H71" s="1" t="n">
        <f aca="false">Coverage_Summary!I8</f>
        <v>135</v>
      </c>
      <c r="I71" s="98" t="n">
        <f aca="false">Coverage_Summary!J8</f>
        <v>4.72592592592593</v>
      </c>
      <c r="J71" s="99" t="n">
        <f aca="false">Coverage_Summary!K8</f>
        <v>0</v>
      </c>
    </row>
    <row r="72" customFormat="false" ht="15" hidden="false" customHeight="true" outlineLevel="0" collapsed="false">
      <c r="A72" s="1" t="s">
        <v>267</v>
      </c>
      <c r="B72" s="1" t="n">
        <f aca="false">Coverage_Summary!C9</f>
        <v>56</v>
      </c>
      <c r="C72" s="1" t="n">
        <f aca="false">Coverage_Summary!D9</f>
        <v>49</v>
      </c>
      <c r="D72" s="1" t="n">
        <f aca="false">Coverage_Summary!E9</f>
        <v>0</v>
      </c>
      <c r="E72" s="1" t="n">
        <f aca="false">Coverage_Summary!F9</f>
        <v>4</v>
      </c>
      <c r="F72" s="1" t="n">
        <f aca="false">Coverage_Summary!G9</f>
        <v>1</v>
      </c>
      <c r="G72" s="1" t="n">
        <f aca="false">Coverage_Summary!H9</f>
        <v>25</v>
      </c>
      <c r="H72" s="1" t="n">
        <f aca="false">Coverage_Summary!I9</f>
        <v>135</v>
      </c>
      <c r="I72" s="98" t="n">
        <f aca="false">Coverage_Summary!J9</f>
        <v>2.21481481481482</v>
      </c>
      <c r="J72" s="99" t="n">
        <f aca="false">Coverage_Summary!K9</f>
        <v>0.281481481481482</v>
      </c>
    </row>
    <row r="73" customFormat="false" ht="15" hidden="false" customHeight="true" outlineLevel="0" collapsed="false">
      <c r="A73" s="1" t="s">
        <v>268</v>
      </c>
      <c r="B73" s="1" t="n">
        <f aca="false">Coverage_Summary!C10</f>
        <v>45</v>
      </c>
      <c r="C73" s="1" t="n">
        <f aca="false">Coverage_Summary!D10</f>
        <v>25</v>
      </c>
      <c r="D73" s="1" t="n">
        <f aca="false">Coverage_Summary!E10</f>
        <v>0</v>
      </c>
      <c r="E73" s="1" t="n">
        <f aca="false">Coverage_Summary!F10</f>
        <v>5</v>
      </c>
      <c r="F73" s="1" t="n">
        <f aca="false">Coverage_Summary!G10</f>
        <v>5</v>
      </c>
      <c r="G73" s="1" t="n">
        <f aca="false">Coverage_Summary!H10</f>
        <v>55</v>
      </c>
      <c r="H73" s="1" t="n">
        <f aca="false">Coverage_Summary!I10</f>
        <v>135</v>
      </c>
      <c r="I73" s="98" t="n">
        <f aca="false">Coverage_Summary!J10</f>
        <v>2.55555555555556</v>
      </c>
      <c r="J73" s="99" t="n">
        <f aca="false">Coverage_Summary!K10</f>
        <v>0.281481481481482</v>
      </c>
    </row>
    <row r="75" customFormat="false" ht="15" hidden="false" customHeight="true" outlineLevel="0" collapsed="false">
      <c r="A75" s="1" t="s">
        <v>647</v>
      </c>
    </row>
    <row r="76" customFormat="false" ht="15" hidden="false" customHeight="true" outlineLevel="0" collapsed="false">
      <c r="A76" s="1" t="s">
        <v>264</v>
      </c>
      <c r="B76" s="1" t="n">
        <f aca="false">ABS(B69-B62)</f>
        <v>0</v>
      </c>
      <c r="C76" s="1" t="n">
        <f aca="false">ABS(C69-C62)</f>
        <v>17</v>
      </c>
      <c r="D76" s="1" t="n">
        <f aca="false">ABS(D69-D62)</f>
        <v>0</v>
      </c>
      <c r="E76" s="1" t="n">
        <f aca="false">ABS(E69-E62)</f>
        <v>0</v>
      </c>
      <c r="F76" s="1" t="n">
        <f aca="false">ABS(F69-F62)</f>
        <v>0</v>
      </c>
      <c r="G76" s="1" t="n">
        <f aca="false">ABS(G69-G62)</f>
        <v>17</v>
      </c>
      <c r="H76" s="1" t="n">
        <f aca="false">ABS(H69-H62)</f>
        <v>0</v>
      </c>
      <c r="I76" s="1" t="n">
        <f aca="false">ABS(I69-I62)</f>
        <v>0.0222222222222181</v>
      </c>
      <c r="J76" s="1" t="n">
        <f aca="false">ABS(J69-J62)</f>
        <v>0</v>
      </c>
      <c r="K76" s="1" t="str">
        <f aca="false">IF(SUMPRODUCT(--(ABS(B76:J76)&gt;0.000001))=0,"OK","CHECK")</f>
        <v>CHECK</v>
      </c>
    </row>
    <row r="77" customFormat="false" ht="15" hidden="false" customHeight="true" outlineLevel="0" collapsed="false">
      <c r="A77" s="1" t="s">
        <v>265</v>
      </c>
      <c r="B77" s="1" t="n">
        <f aca="false">ABS(B70-B63)</f>
        <v>23</v>
      </c>
      <c r="C77" s="1" t="n">
        <f aca="false">ABS(C70-C63)</f>
        <v>38</v>
      </c>
      <c r="D77" s="1" t="n">
        <f aca="false">ABS(D70-D63)</f>
        <v>0</v>
      </c>
      <c r="E77" s="1" t="n">
        <f aca="false">ABS(E70-E63)</f>
        <v>0</v>
      </c>
      <c r="F77" s="1" t="n">
        <f aca="false">ABS(F70-F63)</f>
        <v>0</v>
      </c>
      <c r="G77" s="1" t="n">
        <f aca="false">ABS(G70-G63)</f>
        <v>15</v>
      </c>
      <c r="H77" s="1" t="n">
        <f aca="false">ABS(H70-H63)</f>
        <v>0</v>
      </c>
      <c r="I77" s="1" t="n">
        <f aca="false">ABS(I70-I63)</f>
        <v>0.207407407407412</v>
      </c>
      <c r="J77" s="1" t="n">
        <f aca="false">ABS(J70-J63)</f>
        <v>0</v>
      </c>
      <c r="K77" s="1" t="str">
        <f aca="false">IF(SUMPRODUCT(--(ABS(B77:J77)&gt;0.000001))=0,"OK","CHECK")</f>
        <v>CHECK</v>
      </c>
    </row>
    <row r="78" customFormat="false" ht="15" hidden="false" customHeight="true" outlineLevel="0" collapsed="false">
      <c r="A78" s="1" t="s">
        <v>266</v>
      </c>
      <c r="B78" s="1" t="n">
        <f aca="false">ABS(B71-B64)</f>
        <v>9</v>
      </c>
      <c r="C78" s="1" t="n">
        <f aca="false">ABS(C71-C64)</f>
        <v>17</v>
      </c>
      <c r="D78" s="1" t="n">
        <f aca="false">ABS(D71-D64)</f>
        <v>0</v>
      </c>
      <c r="E78" s="1" t="n">
        <f aca="false">ABS(E71-E64)</f>
        <v>0</v>
      </c>
      <c r="F78" s="1" t="n">
        <f aca="false">ABS(F71-F64)</f>
        <v>0</v>
      </c>
      <c r="G78" s="1" t="n">
        <f aca="false">ABS(G71-G64)</f>
        <v>26</v>
      </c>
      <c r="H78" s="1" t="n">
        <f aca="false">ABS(H71-H64)</f>
        <v>0</v>
      </c>
      <c r="I78" s="1" t="n">
        <f aca="false">ABS(I71-I64)</f>
        <v>0.0370370370370337</v>
      </c>
      <c r="J78" s="1" t="n">
        <f aca="false">ABS(J71-J64)</f>
        <v>0</v>
      </c>
      <c r="K78" s="1" t="str">
        <f aca="false">IF(SUMPRODUCT(--(ABS(B78:J78)&gt;0.000001))=0,"OK","CHECK")</f>
        <v>CHECK</v>
      </c>
    </row>
    <row r="79" customFormat="false" ht="15" hidden="false" customHeight="true" outlineLevel="0" collapsed="false">
      <c r="A79" s="1" t="s">
        <v>267</v>
      </c>
      <c r="B79" s="1" t="n">
        <f aca="false">ABS(B72-B65)</f>
        <v>0</v>
      </c>
      <c r="C79" s="1" t="n">
        <f aca="false">ABS(C72-C65)</f>
        <v>1</v>
      </c>
      <c r="D79" s="1" t="n">
        <f aca="false">ABS(D72-D65)</f>
        <v>0</v>
      </c>
      <c r="E79" s="1" t="n">
        <f aca="false">ABS(E72-E65)</f>
        <v>0</v>
      </c>
      <c r="F79" s="1" t="n">
        <f aca="false">ABS(F72-F65)</f>
        <v>0</v>
      </c>
      <c r="G79" s="1" t="n">
        <f aca="false">ABS(G72-G65)</f>
        <v>1</v>
      </c>
      <c r="H79" s="1" t="n">
        <f aca="false">ABS(H72-H65)</f>
        <v>0</v>
      </c>
      <c r="I79" s="1" t="n">
        <f aca="false">ABS(I72-I65)</f>
        <v>0.0148148148148146</v>
      </c>
      <c r="J79" s="1" t="n">
        <f aca="false">ABS(J72-J65)</f>
        <v>0</v>
      </c>
      <c r="K79" s="1" t="str">
        <f aca="false">IF(SUMPRODUCT(--(ABS(B79:J79)&gt;0.000001))=0,"OK","CHECK")</f>
        <v>CHECK</v>
      </c>
    </row>
    <row r="80" customFormat="false" ht="15" hidden="false" customHeight="true" outlineLevel="0" collapsed="false">
      <c r="A80" s="1" t="s">
        <v>268</v>
      </c>
      <c r="B80" s="1" t="n">
        <f aca="false">ABS(B73-B66)</f>
        <v>2</v>
      </c>
      <c r="C80" s="1" t="n">
        <f aca="false">ABS(C73-C66)</f>
        <v>5</v>
      </c>
      <c r="D80" s="1" t="n">
        <f aca="false">ABS(D73-D66)</f>
        <v>0</v>
      </c>
      <c r="E80" s="1" t="n">
        <f aca="false">ABS(E73-E66)</f>
        <v>1</v>
      </c>
      <c r="F80" s="1" t="n">
        <f aca="false">ABS(F73-F66)</f>
        <v>0</v>
      </c>
      <c r="G80" s="1" t="n">
        <f aca="false">ABS(G73-G66)</f>
        <v>4</v>
      </c>
      <c r="H80" s="1" t="n">
        <f aca="false">ABS(H73-H66)</f>
        <v>0</v>
      </c>
      <c r="I80" s="1" t="n">
        <f aca="false">ABS(I73-I66)</f>
        <v>0</v>
      </c>
      <c r="J80" s="1" t="n">
        <f aca="false">ABS(J73-J66)</f>
        <v>0</v>
      </c>
      <c r="K80" s="1" t="str">
        <f aca="false">IF(SUMPRODUCT(--(ABS(B80:J80)&gt;0.000001))=0,"OK","CHECK")</f>
        <v>CHECK</v>
      </c>
    </row>
    <row r="82" customFormat="false" ht="15" hidden="false" customHeight="true" outlineLevel="0" collapsed="false">
      <c r="A82" s="1" t="s">
        <v>665</v>
      </c>
      <c r="B82" s="1" t="str">
        <f aca="false">IF(COUNTIF(G18:G22,"CHECK")+COUNTIF(G49:G58,"CHECK")+COUNTIF(K76:K80,"CHECK")=0,"ALL -05 RESULTS INTACT","CHECK")</f>
        <v>CHECK</v>
      </c>
    </row>
    <row r="84" customFormat="false" ht="15" hidden="false" customHeight="true" outlineLevel="0" collapsed="false">
      <c r="A84" s="1" t="s">
        <v>666</v>
      </c>
    </row>
    <row r="88" customFormat="false" ht="15" hidden="false" customHeight="true" outlineLevel="0" collapsed="false">
      <c r="A88" s="1" t="s">
        <v>667</v>
      </c>
    </row>
    <row r="90" customFormat="false" ht="15" hidden="false" customHeight="true" outlineLevel="0" collapsed="false">
      <c r="A90" s="1" t="s">
        <v>668</v>
      </c>
      <c r="B90" s="1" t="s">
        <v>641</v>
      </c>
      <c r="C90" s="1" t="s">
        <v>642</v>
      </c>
      <c r="D90" s="1" t="s">
        <v>643</v>
      </c>
      <c r="E90" s="1" t="s">
        <v>644</v>
      </c>
      <c r="F90" s="1" t="s">
        <v>645</v>
      </c>
    </row>
    <row r="91" customFormat="false" ht="15" hidden="false" customHeight="true" outlineLevel="0" collapsed="false">
      <c r="A91" s="1" t="s">
        <v>264</v>
      </c>
      <c r="B91" s="1" t="n">
        <v>0.873586120548575</v>
      </c>
      <c r="C91" s="1" t="n">
        <v>0.8262375096927</v>
      </c>
      <c r="D91" s="1" t="n">
        <v>0.849430065786207</v>
      </c>
      <c r="E91" s="1" t="n">
        <v>0.0473486108558749</v>
      </c>
      <c r="F91" s="1" t="n">
        <v>0.849812438283678</v>
      </c>
    </row>
    <row r="92" customFormat="false" ht="15" hidden="false" customHeight="true" outlineLevel="0" collapsed="false">
      <c r="A92" s="1" t="s">
        <v>265</v>
      </c>
      <c r="B92" s="1" t="n">
        <v>0.713829244074343</v>
      </c>
      <c r="C92" s="1" t="n">
        <v>0.475769583230468</v>
      </c>
      <c r="D92" s="1" t="n">
        <v>0.592377271141922</v>
      </c>
      <c r="E92" s="1" t="n">
        <v>0.238059660843875</v>
      </c>
      <c r="F92" s="1" t="n">
        <v>0.593178609226264</v>
      </c>
    </row>
    <row r="93" customFormat="false" ht="15" hidden="false" customHeight="true" outlineLevel="0" collapsed="false">
      <c r="A93" s="1" t="s">
        <v>266</v>
      </c>
      <c r="B93" s="1" t="n">
        <v>0.404036379701959</v>
      </c>
      <c r="C93" s="1" t="n">
        <v>0.268679380830066</v>
      </c>
      <c r="D93" s="1" t="n">
        <v>0.334980687927349</v>
      </c>
      <c r="E93" s="1" t="n">
        <v>0.135356998871893</v>
      </c>
      <c r="F93" s="1" t="n">
        <v>0.333170849702562</v>
      </c>
    </row>
    <row r="94" customFormat="false" ht="15" hidden="false" customHeight="true" outlineLevel="0" collapsed="false">
      <c r="A94" s="1" t="s">
        <v>267</v>
      </c>
      <c r="B94" s="1" t="n">
        <v>0.889934586965995</v>
      </c>
      <c r="C94" s="1" t="n">
        <v>0.736360521649885</v>
      </c>
      <c r="D94" s="1" t="n">
        <v>0.811585012083057</v>
      </c>
      <c r="E94" s="1" t="n">
        <v>0.15357406531611</v>
      </c>
      <c r="F94" s="1" t="n">
        <v>0.81020725354235</v>
      </c>
    </row>
    <row r="95" customFormat="false" ht="15" hidden="false" customHeight="true" outlineLevel="0" collapsed="false">
      <c r="A95" s="1" t="s">
        <v>268</v>
      </c>
      <c r="B95" s="1" t="n">
        <v>0.921089688666993</v>
      </c>
      <c r="C95" s="1" t="n">
        <v>0.636270010695473</v>
      </c>
      <c r="D95" s="1" t="n">
        <v>0.775781946494312</v>
      </c>
      <c r="E95" s="1" t="n">
        <v>0.28481967797152</v>
      </c>
      <c r="F95" s="1" t="n">
        <v>0.774085940329088</v>
      </c>
    </row>
    <row r="96" customFormat="false" ht="15" hidden="false" customHeight="true" outlineLevel="0" collapsed="false">
      <c r="A96" s="1" t="s">
        <v>646</v>
      </c>
    </row>
    <row r="97" customFormat="false" ht="15" hidden="false" customHeight="true" outlineLevel="0" collapsed="false">
      <c r="A97" s="1" t="s">
        <v>264</v>
      </c>
      <c r="B97" s="89" t="n">
        <f aca="false">Portfolio!D75</f>
        <v>0.873586120548575</v>
      </c>
      <c r="C97" s="89" t="n">
        <f aca="false">Portfolio!E75</f>
        <v>0.8262375096927</v>
      </c>
      <c r="D97" s="89" t="n">
        <f aca="false">Portfolio!F75</f>
        <v>0.849430065786207</v>
      </c>
      <c r="E97" s="89" t="n">
        <f aca="false">Portfolio!G75</f>
        <v>0.0473486108558749</v>
      </c>
      <c r="F97" s="89" t="n">
        <f aca="false">Portfolio!H75</f>
        <v>0.849812438283678</v>
      </c>
    </row>
    <row r="98" customFormat="false" ht="15" hidden="false" customHeight="true" outlineLevel="0" collapsed="false">
      <c r="A98" s="1" t="s">
        <v>265</v>
      </c>
      <c r="B98" s="89" t="n">
        <f aca="false">Portfolio!D76</f>
        <v>0.713829244074343</v>
      </c>
      <c r="C98" s="89" t="n">
        <f aca="false">Portfolio!E76</f>
        <v>0.475769583230468</v>
      </c>
      <c r="D98" s="89" t="n">
        <f aca="false">Portfolio!F76</f>
        <v>0.592377271141922</v>
      </c>
      <c r="E98" s="89" t="n">
        <f aca="false">Portfolio!G76</f>
        <v>0.238059660843875</v>
      </c>
      <c r="F98" s="89" t="n">
        <f aca="false">Portfolio!H76</f>
        <v>0.593178609226264</v>
      </c>
    </row>
    <row r="99" customFormat="false" ht="15" hidden="false" customHeight="true" outlineLevel="0" collapsed="false">
      <c r="A99" s="1" t="s">
        <v>266</v>
      </c>
      <c r="B99" s="89" t="n">
        <f aca="false">Portfolio!D77</f>
        <v>0.404036379701959</v>
      </c>
      <c r="C99" s="89" t="n">
        <f aca="false">Portfolio!E77</f>
        <v>0.268679380830066</v>
      </c>
      <c r="D99" s="89" t="n">
        <f aca="false">Portfolio!F77</f>
        <v>0.334980687927349</v>
      </c>
      <c r="E99" s="89" t="n">
        <f aca="false">Portfolio!G77</f>
        <v>0.135356998871893</v>
      </c>
      <c r="F99" s="89" t="n">
        <f aca="false">Portfolio!H77</f>
        <v>0.333170849702562</v>
      </c>
    </row>
    <row r="100" customFormat="false" ht="15" hidden="false" customHeight="true" outlineLevel="0" collapsed="false">
      <c r="A100" s="1" t="s">
        <v>267</v>
      </c>
      <c r="B100" s="89" t="n">
        <f aca="false">Portfolio!D78</f>
        <v>0.889934586965995</v>
      </c>
      <c r="C100" s="89" t="n">
        <f aca="false">Portfolio!E78</f>
        <v>0.736360521649885</v>
      </c>
      <c r="D100" s="89" t="n">
        <f aca="false">Portfolio!F78</f>
        <v>0.811585012083057</v>
      </c>
      <c r="E100" s="89" t="n">
        <f aca="false">Portfolio!G78</f>
        <v>0.15357406531611</v>
      </c>
      <c r="F100" s="89" t="n">
        <f aca="false">Portfolio!H78</f>
        <v>0.81020725354235</v>
      </c>
    </row>
    <row r="101" customFormat="false" ht="15" hidden="false" customHeight="true" outlineLevel="0" collapsed="false">
      <c r="A101" s="1" t="s">
        <v>268</v>
      </c>
      <c r="B101" s="89" t="n">
        <f aca="false">Portfolio!D79</f>
        <v>0.921089688666993</v>
      </c>
      <c r="C101" s="89" t="n">
        <f aca="false">Portfolio!E79</f>
        <v>0.636270010695473</v>
      </c>
      <c r="D101" s="89" t="n">
        <f aca="false">Portfolio!F79</f>
        <v>0.775781946494312</v>
      </c>
      <c r="E101" s="89" t="n">
        <f aca="false">Portfolio!G79</f>
        <v>0.28481967797152</v>
      </c>
      <c r="F101" s="89" t="n">
        <f aca="false">Portfolio!H79</f>
        <v>0.774085940329088</v>
      </c>
    </row>
    <row r="102" customFormat="false" ht="15" hidden="false" customHeight="true" outlineLevel="0" collapsed="false">
      <c r="A102" s="1" t="s">
        <v>647</v>
      </c>
    </row>
    <row r="103" customFormat="false" ht="15" hidden="false" customHeight="true" outlineLevel="0" collapsed="false">
      <c r="A103" s="1" t="s">
        <v>264</v>
      </c>
      <c r="B103" s="1" t="n">
        <f aca="false">ABS(B97-B91)</f>
        <v>0</v>
      </c>
      <c r="C103" s="1" t="n">
        <f aca="false">ABS(C97-C91)</f>
        <v>0</v>
      </c>
      <c r="D103" s="1" t="n">
        <f aca="false">ABS(D97-D91)</f>
        <v>0</v>
      </c>
      <c r="E103" s="1" t="n">
        <f aca="false">ABS(E97-E91)</f>
        <v>0</v>
      </c>
      <c r="F103" s="1" t="n">
        <f aca="false">ABS(F97-F91)</f>
        <v>0</v>
      </c>
      <c r="G103" s="1" t="str">
        <f aca="false">IF(SUMPRODUCT(--(ABS(B103:F103)&gt;0.000001))=0,"OK","CHECK")</f>
        <v>OK</v>
      </c>
    </row>
    <row r="104" customFormat="false" ht="15" hidden="false" customHeight="true" outlineLevel="0" collapsed="false">
      <c r="A104" s="1" t="s">
        <v>265</v>
      </c>
      <c r="B104" s="1" t="n">
        <f aca="false">ABS(B98-B92)</f>
        <v>0</v>
      </c>
      <c r="C104" s="1" t="n">
        <f aca="false">ABS(C98-C92)</f>
        <v>0</v>
      </c>
      <c r="D104" s="1" t="n">
        <f aca="false">ABS(D98-D92)</f>
        <v>0</v>
      </c>
      <c r="E104" s="1" t="n">
        <f aca="false">ABS(E98-E92)</f>
        <v>0</v>
      </c>
      <c r="F104" s="1" t="n">
        <f aca="false">ABS(F98-F92)</f>
        <v>0</v>
      </c>
      <c r="G104" s="1" t="str">
        <f aca="false">IF(SUMPRODUCT(--(ABS(B104:F104)&gt;0.000001))=0,"OK","CHECK")</f>
        <v>OK</v>
      </c>
    </row>
    <row r="105" customFormat="false" ht="15" hidden="false" customHeight="true" outlineLevel="0" collapsed="false">
      <c r="A105" s="1" t="s">
        <v>266</v>
      </c>
      <c r="B105" s="1" t="n">
        <f aca="false">ABS(B99-B93)</f>
        <v>0</v>
      </c>
      <c r="C105" s="1" t="n">
        <f aca="false">ABS(C99-C93)</f>
        <v>0</v>
      </c>
      <c r="D105" s="1" t="n">
        <f aca="false">ABS(D99-D93)</f>
        <v>0</v>
      </c>
      <c r="E105" s="1" t="n">
        <f aca="false">ABS(E99-E93)</f>
        <v>0</v>
      </c>
      <c r="F105" s="1" t="n">
        <f aca="false">ABS(F99-F93)</f>
        <v>0</v>
      </c>
      <c r="G105" s="1" t="str">
        <f aca="false">IF(SUMPRODUCT(--(ABS(B105:F105)&gt;0.000001))=0,"OK","CHECK")</f>
        <v>OK</v>
      </c>
    </row>
    <row r="106" customFormat="false" ht="15" hidden="false" customHeight="true" outlineLevel="0" collapsed="false">
      <c r="A106" s="1" t="s">
        <v>267</v>
      </c>
      <c r="B106" s="1" t="n">
        <f aca="false">ABS(B100-B94)</f>
        <v>0</v>
      </c>
      <c r="C106" s="1" t="n">
        <f aca="false">ABS(C100-C94)</f>
        <v>0</v>
      </c>
      <c r="D106" s="1" t="n">
        <f aca="false">ABS(D100-D94)</f>
        <v>0</v>
      </c>
      <c r="E106" s="1" t="n">
        <f aca="false">ABS(E100-E94)</f>
        <v>0</v>
      </c>
      <c r="F106" s="1" t="n">
        <f aca="false">ABS(F100-F94)</f>
        <v>0</v>
      </c>
      <c r="G106" s="1" t="str">
        <f aca="false">IF(SUMPRODUCT(--(ABS(B106:F106)&gt;0.000001))=0,"OK","CHECK")</f>
        <v>OK</v>
      </c>
    </row>
    <row r="107" customFormat="false" ht="15" hidden="false" customHeight="true" outlineLevel="0" collapsed="false">
      <c r="A107" s="1" t="s">
        <v>268</v>
      </c>
      <c r="B107" s="1" t="n">
        <f aca="false">ABS(B101-B95)</f>
        <v>0</v>
      </c>
      <c r="C107" s="1" t="n">
        <f aca="false">ABS(C101-C95)</f>
        <v>0</v>
      </c>
      <c r="D107" s="1" t="n">
        <f aca="false">ABS(D101-D95)</f>
        <v>0</v>
      </c>
      <c r="E107" s="1" t="n">
        <f aca="false">ABS(E101-E95)</f>
        <v>0</v>
      </c>
      <c r="F107" s="1" t="n">
        <f aca="false">ABS(F101-F95)</f>
        <v>0</v>
      </c>
      <c r="G107" s="1" t="str">
        <f aca="false">IF(SUMPRODUCT(--(ABS(B107:F107)&gt;0.000001))=0,"OK","CHECK")</f>
        <v>OK</v>
      </c>
    </row>
    <row r="110" customFormat="false" ht="15" hidden="false" customHeight="true" outlineLevel="0" collapsed="false">
      <c r="A110" s="1" t="s">
        <v>669</v>
      </c>
      <c r="B110" s="1" t="n">
        <v>14501.0892000565</v>
      </c>
      <c r="C110" s="1" t="n">
        <v>16092.9076025567</v>
      </c>
      <c r="D110" s="1" t="n">
        <v>17707.5647275432</v>
      </c>
      <c r="E110" s="1" t="n">
        <v>19198.5955881814</v>
      </c>
      <c r="F110" s="1" t="n">
        <v>19141.1699587648</v>
      </c>
    </row>
    <row r="111" customFormat="false" ht="15" hidden="false" customHeight="true" outlineLevel="0" collapsed="false">
      <c r="A111" s="1" t="s">
        <v>654</v>
      </c>
      <c r="B111" s="1" t="n">
        <v>14501.0892000565</v>
      </c>
      <c r="C111" s="1" t="n">
        <v>16092.9076025567</v>
      </c>
      <c r="D111" s="1" t="n">
        <v>17707.5647275432</v>
      </c>
      <c r="E111" s="1" t="n">
        <v>19198.5955881814</v>
      </c>
      <c r="F111" s="1" t="n">
        <v>19141.1699587648</v>
      </c>
    </row>
    <row r="112" customFormat="false" ht="15" hidden="false" customHeight="true" outlineLevel="0" collapsed="false">
      <c r="A112" s="1" t="s">
        <v>655</v>
      </c>
      <c r="B112" s="1" t="n">
        <v>11668.4227952744</v>
      </c>
      <c r="C112" s="1" t="n">
        <v>12949.4403534563</v>
      </c>
      <c r="D112" s="1" t="n">
        <v>14342.2121253694</v>
      </c>
      <c r="E112" s="1" t="n">
        <v>15804.4966186681</v>
      </c>
      <c r="F112" s="1" t="n">
        <v>14176.1509584078</v>
      </c>
    </row>
    <row r="113" customFormat="false" ht="15" hidden="false" customHeight="true" outlineLevel="0" collapsed="false">
      <c r="A113" s="1" t="s">
        <v>656</v>
      </c>
      <c r="B113" s="1" t="n">
        <v>6447.78256981882</v>
      </c>
      <c r="C113" s="1" t="n">
        <v>7146.15088754215</v>
      </c>
      <c r="D113" s="1" t="n">
        <v>7909.61183658617</v>
      </c>
      <c r="E113" s="1" t="n">
        <v>8718.51246490491</v>
      </c>
      <c r="F113" s="1" t="n">
        <v>7743.0595134077</v>
      </c>
    </row>
    <row r="114" customFormat="false" ht="15" hidden="false" customHeight="true" outlineLevel="0" collapsed="false">
      <c r="A114" s="1" t="s">
        <v>657</v>
      </c>
      <c r="B114" s="1" t="n">
        <v>13704.9465025613</v>
      </c>
      <c r="C114" s="1" t="n">
        <v>15216.7106278711</v>
      </c>
      <c r="D114" s="1" t="n">
        <v>16784.702240779</v>
      </c>
      <c r="E114" s="1" t="n">
        <v>18297.7948397491</v>
      </c>
      <c r="F114" s="1" t="n">
        <v>17671.1733054023</v>
      </c>
    </row>
    <row r="115" customFormat="false" ht="15" hidden="false" customHeight="true" outlineLevel="0" collapsed="false">
      <c r="A115" s="1" t="s">
        <v>658</v>
      </c>
      <c r="B115" s="1" t="n">
        <v>15810.613071202</v>
      </c>
      <c r="C115" s="1" t="n">
        <v>17546.2010552337</v>
      </c>
      <c r="D115" s="1" t="n">
        <v>19419.8052007728</v>
      </c>
      <c r="E115" s="1" t="n">
        <v>21363.3463422518</v>
      </c>
      <c r="F115" s="1" t="n">
        <v>19383.8441508643</v>
      </c>
    </row>
    <row r="116" customFormat="false" ht="15" hidden="false" customHeight="true" outlineLevel="0" collapsed="false">
      <c r="A116" s="1" t="s">
        <v>659</v>
      </c>
      <c r="B116" s="1" t="n">
        <v>14802.6781174722</v>
      </c>
      <c r="C116" s="1" t="n">
        <v>16009.9626867015</v>
      </c>
      <c r="D116" s="1" t="n">
        <v>16959.5582097582</v>
      </c>
      <c r="E116" s="1" t="n">
        <v>17219.7505936583</v>
      </c>
      <c r="F116" s="1" t="n">
        <v>15993.0188883943</v>
      </c>
    </row>
    <row r="117" customFormat="false" ht="15" hidden="false" customHeight="true" outlineLevel="0" collapsed="false">
      <c r="A117" s="1" t="s">
        <v>660</v>
      </c>
      <c r="B117" s="1" t="n">
        <v>8284.46805483937</v>
      </c>
      <c r="C117" s="1" t="n">
        <v>8962.50127779795</v>
      </c>
      <c r="D117" s="1" t="n">
        <v>9568.27195895881</v>
      </c>
      <c r="E117" s="1" t="n">
        <v>9933.80419419746</v>
      </c>
      <c r="F117" s="1" t="n">
        <v>8842.17525865652</v>
      </c>
    </row>
    <row r="118" customFormat="false" ht="15" hidden="false" customHeight="true" outlineLevel="0" collapsed="false">
      <c r="A118" s="1" t="s">
        <v>661</v>
      </c>
      <c r="B118" s="1" t="n">
        <v>4583.47232262033</v>
      </c>
      <c r="C118" s="1" t="n">
        <v>4948.2547722052</v>
      </c>
      <c r="D118" s="1" t="n">
        <v>5280.61320432238</v>
      </c>
      <c r="E118" s="1" t="n">
        <v>5496.85314947696</v>
      </c>
      <c r="F118" s="1" t="n">
        <v>4847.65423815105</v>
      </c>
    </row>
    <row r="119" customFormat="false" ht="15" hidden="false" customHeight="true" outlineLevel="0" collapsed="false">
      <c r="A119" s="1" t="s">
        <v>662</v>
      </c>
      <c r="B119" s="1" t="n">
        <v>12208.8575517253</v>
      </c>
      <c r="C119" s="1" t="n">
        <v>13222.8128984087</v>
      </c>
      <c r="D119" s="1" t="n">
        <v>14039.3400391852</v>
      </c>
      <c r="E119" s="1" t="n">
        <v>14315.2490171364</v>
      </c>
      <c r="F119" s="1" t="n">
        <v>13223.7443108544</v>
      </c>
    </row>
    <row r="120" customFormat="false" ht="15" hidden="false" customHeight="true" outlineLevel="0" collapsed="false">
      <c r="A120" s="1" t="s">
        <v>663</v>
      </c>
      <c r="B120" s="1" t="n">
        <v>11661.4658387085</v>
      </c>
      <c r="C120" s="1" t="n">
        <v>12612.0395188122</v>
      </c>
      <c r="D120" s="1" t="n">
        <v>13447.2006475097</v>
      </c>
      <c r="E120" s="1" t="n">
        <v>13916.5403466235</v>
      </c>
      <c r="F120" s="1" t="n">
        <v>12461.626595302</v>
      </c>
    </row>
    <row r="121" customFormat="false" ht="15" hidden="false" customHeight="true" outlineLevel="0" collapsed="false">
      <c r="A121" s="1" t="s">
        <v>646</v>
      </c>
    </row>
    <row r="122" customFormat="false" ht="15" hidden="false" customHeight="true" outlineLevel="0" collapsed="false">
      <c r="A122" s="1" t="s">
        <v>654</v>
      </c>
      <c r="B122" s="94" t="n">
        <f aca="false">Portfolio!D31</f>
        <v>14501.0892000565</v>
      </c>
      <c r="C122" s="94" t="n">
        <f aca="false">Portfolio!E31</f>
        <v>16092.9076025567</v>
      </c>
      <c r="D122" s="94" t="n">
        <f aca="false">Portfolio!F31</f>
        <v>17707.5647275432</v>
      </c>
      <c r="E122" s="94" t="n">
        <f aca="false">Portfolio!G31</f>
        <v>19198.5955881814</v>
      </c>
      <c r="F122" s="94" t="n">
        <f aca="false">Portfolio!H31</f>
        <v>19141.1699587648</v>
      </c>
    </row>
    <row r="123" customFormat="false" ht="15" hidden="false" customHeight="true" outlineLevel="0" collapsed="false">
      <c r="A123" s="1" t="s">
        <v>655</v>
      </c>
      <c r="B123" s="94" t="n">
        <f aca="false">Portfolio!D32</f>
        <v>11668.4227952744</v>
      </c>
      <c r="C123" s="94" t="n">
        <f aca="false">Portfolio!E32</f>
        <v>12949.4403534563</v>
      </c>
      <c r="D123" s="94" t="n">
        <f aca="false">Portfolio!F32</f>
        <v>14342.2121253694</v>
      </c>
      <c r="E123" s="94" t="n">
        <f aca="false">Portfolio!G32</f>
        <v>15804.4966186681</v>
      </c>
      <c r="F123" s="94" t="n">
        <f aca="false">Portfolio!H32</f>
        <v>14176.1509584078</v>
      </c>
    </row>
    <row r="124" customFormat="false" ht="15" hidden="false" customHeight="true" outlineLevel="0" collapsed="false">
      <c r="A124" s="1" t="s">
        <v>656</v>
      </c>
      <c r="B124" s="94" t="n">
        <f aca="false">Portfolio!D33</f>
        <v>6447.78256981882</v>
      </c>
      <c r="C124" s="94" t="n">
        <f aca="false">Portfolio!E33</f>
        <v>7146.15088754215</v>
      </c>
      <c r="D124" s="94" t="n">
        <f aca="false">Portfolio!F33</f>
        <v>7909.61183658617</v>
      </c>
      <c r="E124" s="94" t="n">
        <f aca="false">Portfolio!G33</f>
        <v>8718.51246490491</v>
      </c>
      <c r="F124" s="94" t="n">
        <f aca="false">Portfolio!H33</f>
        <v>7743.0595134077</v>
      </c>
    </row>
    <row r="125" customFormat="false" ht="15" hidden="false" customHeight="true" outlineLevel="0" collapsed="false">
      <c r="A125" s="1" t="s">
        <v>657</v>
      </c>
      <c r="B125" s="94" t="n">
        <f aca="false">Portfolio!D34</f>
        <v>13704.9465025613</v>
      </c>
      <c r="C125" s="94" t="n">
        <f aca="false">Portfolio!E34</f>
        <v>15216.7106278711</v>
      </c>
      <c r="D125" s="94" t="n">
        <f aca="false">Portfolio!F34</f>
        <v>16784.702240779</v>
      </c>
      <c r="E125" s="94" t="n">
        <f aca="false">Portfolio!G34</f>
        <v>18297.7948397491</v>
      </c>
      <c r="F125" s="94" t="n">
        <f aca="false">Portfolio!H34</f>
        <v>17671.1733054023</v>
      </c>
    </row>
    <row r="126" customFormat="false" ht="15" hidden="false" customHeight="true" outlineLevel="0" collapsed="false">
      <c r="A126" s="1" t="s">
        <v>658</v>
      </c>
      <c r="B126" s="94" t="n">
        <f aca="false">Portfolio!D35</f>
        <v>15810.613071202</v>
      </c>
      <c r="C126" s="94" t="n">
        <f aca="false">Portfolio!E35</f>
        <v>17546.2010552337</v>
      </c>
      <c r="D126" s="94" t="n">
        <f aca="false">Portfolio!F35</f>
        <v>19419.8052007728</v>
      </c>
      <c r="E126" s="94" t="n">
        <f aca="false">Portfolio!G35</f>
        <v>21363.3463422518</v>
      </c>
      <c r="F126" s="94" t="n">
        <f aca="false">Portfolio!H35</f>
        <v>19383.8441508643</v>
      </c>
    </row>
    <row r="127" customFormat="false" ht="15" hidden="false" customHeight="true" outlineLevel="0" collapsed="false">
      <c r="A127" s="1" t="s">
        <v>659</v>
      </c>
      <c r="B127" s="94" t="n">
        <f aca="false">Portfolio!D38</f>
        <v>14802.6781174722</v>
      </c>
      <c r="C127" s="94" t="n">
        <f aca="false">Portfolio!E38</f>
        <v>16009.9626867015</v>
      </c>
      <c r="D127" s="94" t="n">
        <f aca="false">Portfolio!F38</f>
        <v>16959.5582097582</v>
      </c>
      <c r="E127" s="94" t="n">
        <f aca="false">Portfolio!G38</f>
        <v>17219.7505936583</v>
      </c>
      <c r="F127" s="94" t="n">
        <f aca="false">Portfolio!H38</f>
        <v>15993.0188883943</v>
      </c>
    </row>
    <row r="128" customFormat="false" ht="15" hidden="false" customHeight="true" outlineLevel="0" collapsed="false">
      <c r="A128" s="1" t="s">
        <v>660</v>
      </c>
      <c r="B128" s="94" t="n">
        <f aca="false">Portfolio!D39</f>
        <v>8284.46805483937</v>
      </c>
      <c r="C128" s="94" t="n">
        <f aca="false">Portfolio!E39</f>
        <v>8962.50127779795</v>
      </c>
      <c r="D128" s="94" t="n">
        <f aca="false">Portfolio!F39</f>
        <v>9568.27195895881</v>
      </c>
      <c r="E128" s="94" t="n">
        <f aca="false">Portfolio!G39</f>
        <v>9933.80419419746</v>
      </c>
      <c r="F128" s="94" t="n">
        <f aca="false">Portfolio!H39</f>
        <v>8842.17525865652</v>
      </c>
    </row>
    <row r="129" customFormat="false" ht="15" hidden="false" customHeight="true" outlineLevel="0" collapsed="false">
      <c r="A129" s="1" t="s">
        <v>661</v>
      </c>
      <c r="B129" s="94" t="n">
        <f aca="false">Portfolio!D40</f>
        <v>4583.47232262033</v>
      </c>
      <c r="C129" s="94" t="n">
        <f aca="false">Portfolio!E40</f>
        <v>4948.2547722052</v>
      </c>
      <c r="D129" s="94" t="n">
        <f aca="false">Portfolio!F40</f>
        <v>5280.61320432238</v>
      </c>
      <c r="E129" s="94" t="n">
        <f aca="false">Portfolio!G40</f>
        <v>5496.85314947696</v>
      </c>
      <c r="F129" s="94" t="n">
        <f aca="false">Portfolio!H40</f>
        <v>4847.65423815105</v>
      </c>
    </row>
    <row r="130" customFormat="false" ht="15" hidden="false" customHeight="true" outlineLevel="0" collapsed="false">
      <c r="A130" s="1" t="s">
        <v>662</v>
      </c>
      <c r="B130" s="94" t="n">
        <f aca="false">Portfolio!D41</f>
        <v>12208.8575517253</v>
      </c>
      <c r="C130" s="94" t="n">
        <f aca="false">Portfolio!E41</f>
        <v>13222.8128984087</v>
      </c>
      <c r="D130" s="94" t="n">
        <f aca="false">Portfolio!F41</f>
        <v>14039.3400391852</v>
      </c>
      <c r="E130" s="94" t="n">
        <f aca="false">Portfolio!G41</f>
        <v>14315.2490171364</v>
      </c>
      <c r="F130" s="94" t="n">
        <f aca="false">Portfolio!H41</f>
        <v>13223.7443108544</v>
      </c>
    </row>
    <row r="131" customFormat="false" ht="15" hidden="false" customHeight="true" outlineLevel="0" collapsed="false">
      <c r="A131" s="1" t="s">
        <v>663</v>
      </c>
      <c r="B131" s="94" t="n">
        <f aca="false">Portfolio!D42</f>
        <v>11661.4658387085</v>
      </c>
      <c r="C131" s="94" t="n">
        <f aca="false">Portfolio!E42</f>
        <v>12612.0395188122</v>
      </c>
      <c r="D131" s="94" t="n">
        <f aca="false">Portfolio!F42</f>
        <v>13447.2006475097</v>
      </c>
      <c r="E131" s="94" t="n">
        <f aca="false">Portfolio!G42</f>
        <v>13916.5403466235</v>
      </c>
      <c r="F131" s="94" t="n">
        <f aca="false">Portfolio!H42</f>
        <v>12461.626595302</v>
      </c>
    </row>
    <row r="132" customFormat="false" ht="15" hidden="false" customHeight="true" outlineLevel="0" collapsed="false">
      <c r="A132" s="1" t="s">
        <v>647</v>
      </c>
    </row>
    <row r="133" customFormat="false" ht="15" hidden="false" customHeight="true" outlineLevel="0" collapsed="false">
      <c r="A133" s="1" t="s">
        <v>654</v>
      </c>
      <c r="B133" s="1" t="n">
        <f aca="false">ABS(B122-B111)</f>
        <v>0</v>
      </c>
      <c r="C133" s="1" t="n">
        <f aca="false">ABS(C122-C111)</f>
        <v>0</v>
      </c>
      <c r="D133" s="1" t="n">
        <f aca="false">ABS(D122-D111)</f>
        <v>0</v>
      </c>
      <c r="E133" s="1" t="n">
        <f aca="false">ABS(E122-E111)</f>
        <v>0</v>
      </c>
      <c r="F133" s="1" t="n">
        <f aca="false">ABS(F122-F111)</f>
        <v>0</v>
      </c>
      <c r="G133" s="1" t="str">
        <f aca="false">IF(SUMPRODUCT(--(ABS(B133:F133)&gt;0.005))=0,"OK","CHECK")</f>
        <v>OK</v>
      </c>
    </row>
    <row r="134" customFormat="false" ht="15" hidden="false" customHeight="true" outlineLevel="0" collapsed="false">
      <c r="A134" s="1" t="s">
        <v>655</v>
      </c>
      <c r="B134" s="1" t="n">
        <f aca="false">ABS(B123-B112)</f>
        <v>0</v>
      </c>
      <c r="C134" s="1" t="n">
        <f aca="false">ABS(C123-C112)</f>
        <v>0</v>
      </c>
      <c r="D134" s="1" t="n">
        <f aca="false">ABS(D123-D112)</f>
        <v>0</v>
      </c>
      <c r="E134" s="1" t="n">
        <f aca="false">ABS(E123-E112)</f>
        <v>0</v>
      </c>
      <c r="F134" s="1" t="n">
        <f aca="false">ABS(F123-F112)</f>
        <v>0</v>
      </c>
      <c r="G134" s="1" t="str">
        <f aca="false">IF(SUMPRODUCT(--(ABS(B134:F134)&gt;0.005))=0,"OK","CHECK")</f>
        <v>OK</v>
      </c>
    </row>
    <row r="135" customFormat="false" ht="15" hidden="false" customHeight="true" outlineLevel="0" collapsed="false">
      <c r="A135" s="1" t="s">
        <v>656</v>
      </c>
      <c r="B135" s="1" t="n">
        <f aca="false">ABS(B124-B113)</f>
        <v>0</v>
      </c>
      <c r="C135" s="1" t="n">
        <f aca="false">ABS(C124-C113)</f>
        <v>0</v>
      </c>
      <c r="D135" s="1" t="n">
        <f aca="false">ABS(D124-D113)</f>
        <v>0</v>
      </c>
      <c r="E135" s="1" t="n">
        <f aca="false">ABS(E124-E113)</f>
        <v>0</v>
      </c>
      <c r="F135" s="1" t="n">
        <f aca="false">ABS(F124-F113)</f>
        <v>0</v>
      </c>
      <c r="G135" s="1" t="str">
        <f aca="false">IF(SUMPRODUCT(--(ABS(B135:F135)&gt;0.005))=0,"OK","CHECK")</f>
        <v>OK</v>
      </c>
    </row>
    <row r="136" customFormat="false" ht="15" hidden="false" customHeight="true" outlineLevel="0" collapsed="false">
      <c r="A136" s="1" t="s">
        <v>657</v>
      </c>
      <c r="B136" s="1" t="n">
        <f aca="false">ABS(B125-B114)</f>
        <v>0</v>
      </c>
      <c r="C136" s="1" t="n">
        <f aca="false">ABS(C125-C114)</f>
        <v>0</v>
      </c>
      <c r="D136" s="1" t="n">
        <f aca="false">ABS(D125-D114)</f>
        <v>0</v>
      </c>
      <c r="E136" s="1" t="n">
        <f aca="false">ABS(E125-E114)</f>
        <v>0</v>
      </c>
      <c r="F136" s="1" t="n">
        <f aca="false">ABS(F125-F114)</f>
        <v>0</v>
      </c>
      <c r="G136" s="1" t="str">
        <f aca="false">IF(SUMPRODUCT(--(ABS(B136:F136)&gt;0.005))=0,"OK","CHECK")</f>
        <v>OK</v>
      </c>
    </row>
    <row r="137" customFormat="false" ht="15" hidden="false" customHeight="true" outlineLevel="0" collapsed="false">
      <c r="A137" s="1" t="s">
        <v>658</v>
      </c>
      <c r="B137" s="1" t="n">
        <f aca="false">ABS(B126-B115)</f>
        <v>0</v>
      </c>
      <c r="C137" s="1" t="n">
        <f aca="false">ABS(C126-C115)</f>
        <v>0</v>
      </c>
      <c r="D137" s="1" t="n">
        <f aca="false">ABS(D126-D115)</f>
        <v>0</v>
      </c>
      <c r="E137" s="1" t="n">
        <f aca="false">ABS(E126-E115)</f>
        <v>0</v>
      </c>
      <c r="F137" s="1" t="n">
        <f aca="false">ABS(F126-F115)</f>
        <v>0</v>
      </c>
      <c r="G137" s="1" t="str">
        <f aca="false">IF(SUMPRODUCT(--(ABS(B137:F137)&gt;0.005))=0,"OK","CHECK")</f>
        <v>OK</v>
      </c>
    </row>
    <row r="138" customFormat="false" ht="15" hidden="false" customHeight="true" outlineLevel="0" collapsed="false">
      <c r="A138" s="1" t="s">
        <v>659</v>
      </c>
      <c r="B138" s="1" t="n">
        <f aca="false">ABS(B127-B116)</f>
        <v>0</v>
      </c>
      <c r="C138" s="1" t="n">
        <f aca="false">ABS(C127-C116)</f>
        <v>0</v>
      </c>
      <c r="D138" s="1" t="n">
        <f aca="false">ABS(D127-D116)</f>
        <v>0</v>
      </c>
      <c r="E138" s="1" t="n">
        <f aca="false">ABS(E127-E116)</f>
        <v>0</v>
      </c>
      <c r="F138" s="1" t="n">
        <f aca="false">ABS(F127-F116)</f>
        <v>0</v>
      </c>
      <c r="G138" s="1" t="str">
        <f aca="false">IF(SUMPRODUCT(--(ABS(B138:F138)&gt;0.005))=0,"OK","CHECK")</f>
        <v>OK</v>
      </c>
    </row>
    <row r="139" customFormat="false" ht="15" hidden="false" customHeight="true" outlineLevel="0" collapsed="false">
      <c r="A139" s="1" t="s">
        <v>660</v>
      </c>
      <c r="B139" s="1" t="n">
        <f aca="false">ABS(B128-B117)</f>
        <v>0</v>
      </c>
      <c r="C139" s="1" t="n">
        <f aca="false">ABS(C128-C117)</f>
        <v>0</v>
      </c>
      <c r="D139" s="1" t="n">
        <f aca="false">ABS(D128-D117)</f>
        <v>0</v>
      </c>
      <c r="E139" s="1" t="n">
        <f aca="false">ABS(E128-E117)</f>
        <v>0</v>
      </c>
      <c r="F139" s="1" t="n">
        <f aca="false">ABS(F128-F117)</f>
        <v>0</v>
      </c>
      <c r="G139" s="1" t="str">
        <f aca="false">IF(SUMPRODUCT(--(ABS(B139:F139)&gt;0.005))=0,"OK","CHECK")</f>
        <v>OK</v>
      </c>
    </row>
    <row r="140" customFormat="false" ht="15" hidden="false" customHeight="true" outlineLevel="0" collapsed="false">
      <c r="A140" s="1" t="s">
        <v>661</v>
      </c>
      <c r="B140" s="1" t="n">
        <f aca="false">ABS(B129-B118)</f>
        <v>0</v>
      </c>
      <c r="C140" s="1" t="n">
        <f aca="false">ABS(C129-C118)</f>
        <v>0</v>
      </c>
      <c r="D140" s="1" t="n">
        <f aca="false">ABS(D129-D118)</f>
        <v>0</v>
      </c>
      <c r="E140" s="1" t="n">
        <f aca="false">ABS(E129-E118)</f>
        <v>0</v>
      </c>
      <c r="F140" s="1" t="n">
        <f aca="false">ABS(F129-F118)</f>
        <v>0</v>
      </c>
      <c r="G140" s="1" t="str">
        <f aca="false">IF(SUMPRODUCT(--(ABS(B140:F140)&gt;0.005))=0,"OK","CHECK")</f>
        <v>OK</v>
      </c>
    </row>
    <row r="141" customFormat="false" ht="15" hidden="false" customHeight="true" outlineLevel="0" collapsed="false">
      <c r="A141" s="1" t="s">
        <v>662</v>
      </c>
      <c r="B141" s="1" t="n">
        <f aca="false">ABS(B130-B119)</f>
        <v>0</v>
      </c>
      <c r="C141" s="1" t="n">
        <f aca="false">ABS(C130-C119)</f>
        <v>0</v>
      </c>
      <c r="D141" s="1" t="n">
        <f aca="false">ABS(D130-D119)</f>
        <v>0</v>
      </c>
      <c r="E141" s="1" t="n">
        <f aca="false">ABS(E130-E119)</f>
        <v>0</v>
      </c>
      <c r="F141" s="1" t="n">
        <f aca="false">ABS(F130-F119)</f>
        <v>0</v>
      </c>
      <c r="G141" s="1" t="str">
        <f aca="false">IF(SUMPRODUCT(--(ABS(B141:F141)&gt;0.005))=0,"OK","CHECK")</f>
        <v>OK</v>
      </c>
    </row>
    <row r="142" customFormat="false" ht="15" hidden="false" customHeight="true" outlineLevel="0" collapsed="false">
      <c r="A142" s="1" t="s">
        <v>663</v>
      </c>
      <c r="B142" s="1" t="n">
        <f aca="false">ABS(B131-B120)</f>
        <v>0</v>
      </c>
      <c r="C142" s="1" t="n">
        <f aca="false">ABS(C131-C120)</f>
        <v>0</v>
      </c>
      <c r="D142" s="1" t="n">
        <f aca="false">ABS(D131-D120)</f>
        <v>0</v>
      </c>
      <c r="E142" s="1" t="n">
        <f aca="false">ABS(E131-E120)</f>
        <v>0</v>
      </c>
      <c r="F142" s="1" t="n">
        <f aca="false">ABS(F131-F120)</f>
        <v>0</v>
      </c>
      <c r="G142" s="1" t="str">
        <f aca="false">IF(SUMPRODUCT(--(ABS(B142:F142)&gt;0.005))=0,"OK","CHECK")</f>
        <v>OK</v>
      </c>
    </row>
    <row r="145" customFormat="false" ht="15" hidden="false" customHeight="true" outlineLevel="0" collapsed="false">
      <c r="A145" s="1" t="s">
        <v>670</v>
      </c>
      <c r="B145" s="1" t="s">
        <v>89</v>
      </c>
      <c r="C145" s="1" t="s">
        <v>86</v>
      </c>
      <c r="D145" s="1" t="s">
        <v>260</v>
      </c>
      <c r="E145" s="1" t="s">
        <v>70</v>
      </c>
      <c r="F145" s="1" t="s">
        <v>128</v>
      </c>
      <c r="G145" s="1" t="s">
        <v>72</v>
      </c>
      <c r="H145" s="1" t="s">
        <v>261</v>
      </c>
      <c r="I145" s="1" t="s">
        <v>262</v>
      </c>
      <c r="J145" s="1" t="s">
        <v>263</v>
      </c>
    </row>
    <row r="146" customFormat="false" ht="15" hidden="false" customHeight="true" outlineLevel="0" collapsed="false">
      <c r="A146" s="1" t="s">
        <v>264</v>
      </c>
      <c r="B146" s="1" t="n">
        <v>49</v>
      </c>
      <c r="C146" s="1" t="n">
        <v>41</v>
      </c>
      <c r="D146" s="1" t="n">
        <v>0</v>
      </c>
      <c r="E146" s="1" t="n">
        <v>1</v>
      </c>
      <c r="F146" s="1" t="n">
        <v>0</v>
      </c>
      <c r="G146" s="1" t="n">
        <v>44</v>
      </c>
      <c r="H146" s="1" t="n">
        <v>135</v>
      </c>
      <c r="I146" s="1" t="n">
        <v>2.54814814814815</v>
      </c>
      <c r="J146" s="1" t="n">
        <v>0.207407407407407</v>
      </c>
    </row>
    <row r="147" customFormat="false" ht="15" hidden="false" customHeight="true" outlineLevel="0" collapsed="false">
      <c r="A147" s="1" t="s">
        <v>265</v>
      </c>
      <c r="B147" s="1" t="n">
        <v>46</v>
      </c>
      <c r="C147" s="1" t="n">
        <v>38</v>
      </c>
      <c r="D147" s="1" t="n">
        <v>0</v>
      </c>
      <c r="E147" s="1" t="n">
        <v>14</v>
      </c>
      <c r="F147" s="1" t="n">
        <v>1</v>
      </c>
      <c r="G147" s="1" t="n">
        <v>36</v>
      </c>
      <c r="H147" s="1" t="n">
        <v>135</v>
      </c>
      <c r="I147" s="1" t="n">
        <v>2.74814814814815</v>
      </c>
      <c r="J147" s="1" t="n">
        <v>0.22962962962963</v>
      </c>
    </row>
    <row r="148" customFormat="false" ht="15" hidden="false" customHeight="true" outlineLevel="0" collapsed="false">
      <c r="A148" s="1" t="s">
        <v>266</v>
      </c>
      <c r="B148" s="1" t="n">
        <v>54</v>
      </c>
      <c r="C148" s="1" t="n">
        <v>34</v>
      </c>
      <c r="D148" s="1" t="n">
        <v>0</v>
      </c>
      <c r="E148" s="1" t="n">
        <v>2</v>
      </c>
      <c r="F148" s="1" t="n">
        <v>1</v>
      </c>
      <c r="G148" s="1" t="n">
        <v>44</v>
      </c>
      <c r="H148" s="1" t="n">
        <v>135</v>
      </c>
      <c r="I148" s="1" t="n">
        <v>4.72592592592593</v>
      </c>
      <c r="J148" s="1" t="n">
        <v>0</v>
      </c>
    </row>
    <row r="149" customFormat="false" ht="15" hidden="false" customHeight="true" outlineLevel="0" collapsed="false">
      <c r="A149" s="1" t="s">
        <v>267</v>
      </c>
      <c r="B149" s="1" t="n">
        <v>56</v>
      </c>
      <c r="C149" s="1" t="n">
        <v>49</v>
      </c>
      <c r="D149" s="1" t="n">
        <v>0</v>
      </c>
      <c r="E149" s="1" t="n">
        <v>4</v>
      </c>
      <c r="F149" s="1" t="n">
        <v>1</v>
      </c>
      <c r="G149" s="1" t="n">
        <v>25</v>
      </c>
      <c r="H149" s="1" t="n">
        <v>135</v>
      </c>
      <c r="I149" s="1" t="n">
        <v>2.21481481481482</v>
      </c>
      <c r="J149" s="1" t="n">
        <v>0.281481481481482</v>
      </c>
    </row>
    <row r="150" customFormat="false" ht="15" hidden="false" customHeight="true" outlineLevel="0" collapsed="false">
      <c r="A150" s="1" t="s">
        <v>268</v>
      </c>
      <c r="B150" s="1" t="n">
        <v>45</v>
      </c>
      <c r="C150" s="1" t="n">
        <v>25</v>
      </c>
      <c r="D150" s="1" t="n">
        <v>0</v>
      </c>
      <c r="E150" s="1" t="n">
        <v>5</v>
      </c>
      <c r="F150" s="1" t="n">
        <v>5</v>
      </c>
      <c r="G150" s="1" t="n">
        <v>55</v>
      </c>
      <c r="H150" s="1" t="n">
        <v>135</v>
      </c>
      <c r="I150" s="1" t="n">
        <v>2.55555555555556</v>
      </c>
      <c r="J150" s="1" t="n">
        <v>0.281481481481482</v>
      </c>
    </row>
    <row r="151" customFormat="false" ht="15" hidden="false" customHeight="true" outlineLevel="0" collapsed="false">
      <c r="A151" s="1" t="s">
        <v>646</v>
      </c>
    </row>
    <row r="152" customFormat="false" ht="15" hidden="false" customHeight="true" outlineLevel="0" collapsed="false">
      <c r="A152" s="1" t="s">
        <v>264</v>
      </c>
      <c r="B152" s="1" t="n">
        <f aca="false">Coverage_Summary!C6</f>
        <v>49</v>
      </c>
      <c r="C152" s="1" t="n">
        <f aca="false">Coverage_Summary!D6</f>
        <v>41</v>
      </c>
      <c r="D152" s="1" t="n">
        <f aca="false">Coverage_Summary!E6</f>
        <v>0</v>
      </c>
      <c r="E152" s="1" t="n">
        <f aca="false">Coverage_Summary!F6</f>
        <v>1</v>
      </c>
      <c r="F152" s="1" t="n">
        <f aca="false">Coverage_Summary!G6</f>
        <v>0</v>
      </c>
      <c r="G152" s="1" t="n">
        <f aca="false">Coverage_Summary!H6</f>
        <v>44</v>
      </c>
      <c r="H152" s="1" t="n">
        <f aca="false">Coverage_Summary!I6</f>
        <v>135</v>
      </c>
      <c r="I152" s="98" t="n">
        <f aca="false">Coverage_Summary!J6</f>
        <v>2.54814814814815</v>
      </c>
      <c r="J152" s="99" t="n">
        <f aca="false">Coverage_Summary!K6</f>
        <v>0.207407407407407</v>
      </c>
    </row>
    <row r="153" customFormat="false" ht="15" hidden="false" customHeight="true" outlineLevel="0" collapsed="false">
      <c r="A153" s="1" t="s">
        <v>265</v>
      </c>
      <c r="B153" s="1" t="n">
        <f aca="false">Coverage_Summary!C7</f>
        <v>46</v>
      </c>
      <c r="C153" s="1" t="n">
        <f aca="false">Coverage_Summary!D7</f>
        <v>38</v>
      </c>
      <c r="D153" s="1" t="n">
        <f aca="false">Coverage_Summary!E7</f>
        <v>0</v>
      </c>
      <c r="E153" s="1" t="n">
        <f aca="false">Coverage_Summary!F7</f>
        <v>14</v>
      </c>
      <c r="F153" s="1" t="n">
        <f aca="false">Coverage_Summary!G7</f>
        <v>1</v>
      </c>
      <c r="G153" s="1" t="n">
        <f aca="false">Coverage_Summary!H7</f>
        <v>36</v>
      </c>
      <c r="H153" s="1" t="n">
        <f aca="false">Coverage_Summary!I7</f>
        <v>135</v>
      </c>
      <c r="I153" s="98" t="n">
        <f aca="false">Coverage_Summary!J7</f>
        <v>2.74814814814815</v>
      </c>
      <c r="J153" s="99" t="n">
        <f aca="false">Coverage_Summary!K7</f>
        <v>0.22962962962963</v>
      </c>
    </row>
    <row r="154" customFormat="false" ht="15" hidden="false" customHeight="true" outlineLevel="0" collapsed="false">
      <c r="A154" s="1" t="s">
        <v>266</v>
      </c>
      <c r="B154" s="1" t="n">
        <f aca="false">Coverage_Summary!C8</f>
        <v>54</v>
      </c>
      <c r="C154" s="1" t="n">
        <f aca="false">Coverage_Summary!D8</f>
        <v>34</v>
      </c>
      <c r="D154" s="1" t="n">
        <f aca="false">Coverage_Summary!E8</f>
        <v>0</v>
      </c>
      <c r="E154" s="1" t="n">
        <f aca="false">Coverage_Summary!F8</f>
        <v>2</v>
      </c>
      <c r="F154" s="1" t="n">
        <f aca="false">Coverage_Summary!G8</f>
        <v>1</v>
      </c>
      <c r="G154" s="1" t="n">
        <f aca="false">Coverage_Summary!H8</f>
        <v>44</v>
      </c>
      <c r="H154" s="1" t="n">
        <f aca="false">Coverage_Summary!I8</f>
        <v>135</v>
      </c>
      <c r="I154" s="98" t="n">
        <f aca="false">Coverage_Summary!J8</f>
        <v>4.72592592592593</v>
      </c>
      <c r="J154" s="99" t="n">
        <f aca="false">Coverage_Summary!K8</f>
        <v>0</v>
      </c>
    </row>
    <row r="155" customFormat="false" ht="15" hidden="false" customHeight="true" outlineLevel="0" collapsed="false">
      <c r="A155" s="1" t="s">
        <v>267</v>
      </c>
      <c r="B155" s="1" t="n">
        <f aca="false">Coverage_Summary!C9</f>
        <v>56</v>
      </c>
      <c r="C155" s="1" t="n">
        <f aca="false">Coverage_Summary!D9</f>
        <v>49</v>
      </c>
      <c r="D155" s="1" t="n">
        <f aca="false">Coverage_Summary!E9</f>
        <v>0</v>
      </c>
      <c r="E155" s="1" t="n">
        <f aca="false">Coverage_Summary!F9</f>
        <v>4</v>
      </c>
      <c r="F155" s="1" t="n">
        <f aca="false">Coverage_Summary!G9</f>
        <v>1</v>
      </c>
      <c r="G155" s="1" t="n">
        <f aca="false">Coverage_Summary!H9</f>
        <v>25</v>
      </c>
      <c r="H155" s="1" t="n">
        <f aca="false">Coverage_Summary!I9</f>
        <v>135</v>
      </c>
      <c r="I155" s="98" t="n">
        <f aca="false">Coverage_Summary!J9</f>
        <v>2.21481481481482</v>
      </c>
      <c r="J155" s="99" t="n">
        <f aca="false">Coverage_Summary!K9</f>
        <v>0.281481481481482</v>
      </c>
    </row>
    <row r="156" customFormat="false" ht="15" hidden="false" customHeight="true" outlineLevel="0" collapsed="false">
      <c r="A156" s="1" t="s">
        <v>268</v>
      </c>
      <c r="B156" s="1" t="n">
        <f aca="false">Coverage_Summary!C10</f>
        <v>45</v>
      </c>
      <c r="C156" s="1" t="n">
        <f aca="false">Coverage_Summary!D10</f>
        <v>25</v>
      </c>
      <c r="D156" s="1" t="n">
        <f aca="false">Coverage_Summary!E10</f>
        <v>0</v>
      </c>
      <c r="E156" s="1" t="n">
        <f aca="false">Coverage_Summary!F10</f>
        <v>5</v>
      </c>
      <c r="F156" s="1" t="n">
        <f aca="false">Coverage_Summary!G10</f>
        <v>5</v>
      </c>
      <c r="G156" s="1" t="n">
        <f aca="false">Coverage_Summary!H10</f>
        <v>55</v>
      </c>
      <c r="H156" s="1" t="n">
        <f aca="false">Coverage_Summary!I10</f>
        <v>135</v>
      </c>
      <c r="I156" s="98" t="n">
        <f aca="false">Coverage_Summary!J10</f>
        <v>2.55555555555556</v>
      </c>
      <c r="J156" s="99" t="n">
        <f aca="false">Coverage_Summary!K10</f>
        <v>0.281481481481482</v>
      </c>
    </row>
    <row r="157" customFormat="false" ht="15" hidden="false" customHeight="true" outlineLevel="0" collapsed="false">
      <c r="A157" s="1" t="s">
        <v>647</v>
      </c>
    </row>
    <row r="158" customFormat="false" ht="15" hidden="false" customHeight="true" outlineLevel="0" collapsed="false">
      <c r="A158" s="1" t="s">
        <v>264</v>
      </c>
      <c r="B158" s="1" t="n">
        <f aca="false">ABS(B152-B146)</f>
        <v>0</v>
      </c>
      <c r="C158" s="1" t="n">
        <f aca="false">ABS(C152-C146)</f>
        <v>0</v>
      </c>
      <c r="D158" s="1" t="n">
        <f aca="false">ABS(D152-D146)</f>
        <v>0</v>
      </c>
      <c r="E158" s="1" t="n">
        <f aca="false">ABS(E152-E146)</f>
        <v>0</v>
      </c>
      <c r="F158" s="1" t="n">
        <f aca="false">ABS(F152-F146)</f>
        <v>0</v>
      </c>
      <c r="G158" s="1" t="n">
        <f aca="false">ABS(G152-G146)</f>
        <v>0</v>
      </c>
      <c r="H158" s="1" t="n">
        <f aca="false">ABS(H152-H146)</f>
        <v>0</v>
      </c>
      <c r="I158" s="1" t="n">
        <f aca="false">ABS(I152-I146)</f>
        <v>0</v>
      </c>
      <c r="J158" s="1" t="n">
        <f aca="false">ABS(J152-J146)</f>
        <v>0</v>
      </c>
      <c r="K158" s="1" t="str">
        <f aca="false">IF(SUMPRODUCT(--(ABS(B158:J158)&gt;0.000001))=0,"OK","CHECK")</f>
        <v>OK</v>
      </c>
    </row>
    <row r="159" customFormat="false" ht="15" hidden="false" customHeight="true" outlineLevel="0" collapsed="false">
      <c r="A159" s="1" t="s">
        <v>265</v>
      </c>
      <c r="B159" s="1" t="n">
        <f aca="false">ABS(B153-B147)</f>
        <v>0</v>
      </c>
      <c r="C159" s="1" t="n">
        <f aca="false">ABS(C153-C147)</f>
        <v>0</v>
      </c>
      <c r="D159" s="1" t="n">
        <f aca="false">ABS(D153-D147)</f>
        <v>0</v>
      </c>
      <c r="E159" s="1" t="n">
        <f aca="false">ABS(E153-E147)</f>
        <v>0</v>
      </c>
      <c r="F159" s="1" t="n">
        <f aca="false">ABS(F153-F147)</f>
        <v>0</v>
      </c>
      <c r="G159" s="1" t="n">
        <f aca="false">ABS(G153-G147)</f>
        <v>0</v>
      </c>
      <c r="H159" s="1" t="n">
        <f aca="false">ABS(H153-H147)</f>
        <v>0</v>
      </c>
      <c r="I159" s="1" t="n">
        <f aca="false">ABS(I153-I147)</f>
        <v>0</v>
      </c>
      <c r="J159" s="1" t="n">
        <f aca="false">ABS(J153-J147)</f>
        <v>0</v>
      </c>
      <c r="K159" s="1" t="str">
        <f aca="false">IF(SUMPRODUCT(--(ABS(B159:J159)&gt;0.000001))=0,"OK","CHECK")</f>
        <v>OK</v>
      </c>
    </row>
    <row r="160" customFormat="false" ht="15" hidden="false" customHeight="true" outlineLevel="0" collapsed="false">
      <c r="A160" s="1" t="s">
        <v>266</v>
      </c>
      <c r="B160" s="1" t="n">
        <f aca="false">ABS(B154-B148)</f>
        <v>0</v>
      </c>
      <c r="C160" s="1" t="n">
        <f aca="false">ABS(C154-C148)</f>
        <v>0</v>
      </c>
      <c r="D160" s="1" t="n">
        <f aca="false">ABS(D154-D148)</f>
        <v>0</v>
      </c>
      <c r="E160" s="1" t="n">
        <f aca="false">ABS(E154-E148)</f>
        <v>0</v>
      </c>
      <c r="F160" s="1" t="n">
        <f aca="false">ABS(F154-F148)</f>
        <v>0</v>
      </c>
      <c r="G160" s="1" t="n">
        <f aca="false">ABS(G154-G148)</f>
        <v>0</v>
      </c>
      <c r="H160" s="1" t="n">
        <f aca="false">ABS(H154-H148)</f>
        <v>0</v>
      </c>
      <c r="I160" s="1" t="n">
        <f aca="false">ABS(I154-I148)</f>
        <v>0</v>
      </c>
      <c r="J160" s="1" t="n">
        <f aca="false">ABS(J154-J148)</f>
        <v>0</v>
      </c>
      <c r="K160" s="1" t="str">
        <f aca="false">IF(SUMPRODUCT(--(ABS(B160:J160)&gt;0.000001))=0,"OK","CHECK")</f>
        <v>OK</v>
      </c>
    </row>
    <row r="161" customFormat="false" ht="15" hidden="false" customHeight="true" outlineLevel="0" collapsed="false">
      <c r="A161" s="1" t="s">
        <v>267</v>
      </c>
      <c r="B161" s="1" t="n">
        <f aca="false">ABS(B155-B149)</f>
        <v>0</v>
      </c>
      <c r="C161" s="1" t="n">
        <f aca="false">ABS(C155-C149)</f>
        <v>0</v>
      </c>
      <c r="D161" s="1" t="n">
        <f aca="false">ABS(D155-D149)</f>
        <v>0</v>
      </c>
      <c r="E161" s="1" t="n">
        <f aca="false">ABS(E155-E149)</f>
        <v>0</v>
      </c>
      <c r="F161" s="1" t="n">
        <f aca="false">ABS(F155-F149)</f>
        <v>0</v>
      </c>
      <c r="G161" s="1" t="n">
        <f aca="false">ABS(G155-G149)</f>
        <v>0</v>
      </c>
      <c r="H161" s="1" t="n">
        <f aca="false">ABS(H155-H149)</f>
        <v>0</v>
      </c>
      <c r="I161" s="1" t="n">
        <f aca="false">ABS(I155-I149)</f>
        <v>0</v>
      </c>
      <c r="J161" s="1" t="n">
        <f aca="false">ABS(J155-J149)</f>
        <v>0</v>
      </c>
      <c r="K161" s="1" t="str">
        <f aca="false">IF(SUMPRODUCT(--(ABS(B161:J161)&gt;0.000001))=0,"OK","CHECK")</f>
        <v>OK</v>
      </c>
    </row>
    <row r="162" customFormat="false" ht="15" hidden="false" customHeight="true" outlineLevel="0" collapsed="false">
      <c r="A162" s="1" t="s">
        <v>268</v>
      </c>
      <c r="B162" s="1" t="n">
        <f aca="false">ABS(B156-B150)</f>
        <v>0</v>
      </c>
      <c r="C162" s="1" t="n">
        <f aca="false">ABS(C156-C150)</f>
        <v>0</v>
      </c>
      <c r="D162" s="1" t="n">
        <f aca="false">ABS(D156-D150)</f>
        <v>0</v>
      </c>
      <c r="E162" s="1" t="n">
        <f aca="false">ABS(E156-E150)</f>
        <v>0</v>
      </c>
      <c r="F162" s="1" t="n">
        <f aca="false">ABS(F156-F150)</f>
        <v>0</v>
      </c>
      <c r="G162" s="1" t="n">
        <f aca="false">ABS(G156-G150)</f>
        <v>0</v>
      </c>
      <c r="H162" s="1" t="n">
        <f aca="false">ABS(H156-H150)</f>
        <v>0</v>
      </c>
      <c r="I162" s="1" t="n">
        <f aca="false">ABS(I156-I150)</f>
        <v>0</v>
      </c>
      <c r="J162" s="1" t="n">
        <f aca="false">ABS(J156-J150)</f>
        <v>0</v>
      </c>
      <c r="K162" s="1" t="str">
        <f aca="false">IF(SUMPRODUCT(--(ABS(B162:J162)&gt;0.000001))=0,"OK","CHECK")</f>
        <v>OK</v>
      </c>
    </row>
    <row r="164" customFormat="false" ht="15" hidden="false" customHeight="true" outlineLevel="0" collapsed="false">
      <c r="A164" s="1" t="s">
        <v>671</v>
      </c>
      <c r="B164" s="1" t="str">
        <f aca="false">IF(COUNTIF(G103:G107,"CHECK")+COUNTIF(G133:G142,"CHECK")+COUNTIF(K158:K162,"CHECK")+COUNTIF(G171:G175,"CHECK")+COUNTIF(Robustness_06!C11,"CHECK")+COUNTIF(Sensitivity_06!C20,"CHECK")+COUNTIF(Sensitivity_06!B11,"CHECK")+COUNTIF(Portfolio!I86:I90,"CHECK")=0,"ALL -05 v1.6.0 RESULTS INTACT","CHECK")</f>
        <v>ALL -05 v1.6.0 RESULTS INTACT</v>
      </c>
    </row>
    <row r="169" customFormat="false" ht="15" hidden="false" customHeight="true" outlineLevel="0" collapsed="false">
      <c r="A169" s="1" t="s">
        <v>672</v>
      </c>
    </row>
    <row r="170" customFormat="false" ht="15" hidden="false" customHeight="true" outlineLevel="0" collapsed="false">
      <c r="A170" s="1" t="s">
        <v>673</v>
      </c>
      <c r="B170" s="1" t="s">
        <v>674</v>
      </c>
      <c r="C170" s="1" t="s">
        <v>675</v>
      </c>
      <c r="D170" s="1" t="s">
        <v>676</v>
      </c>
      <c r="E170" s="1" t="s">
        <v>677</v>
      </c>
      <c r="G170" s="1" t="s">
        <v>678</v>
      </c>
    </row>
    <row r="171" customFormat="false" ht="15" hidden="false" customHeight="true" outlineLevel="0" collapsed="false">
      <c r="A171" s="1" t="s">
        <v>264</v>
      </c>
      <c r="B171" s="1" t="n">
        <v>91</v>
      </c>
      <c r="C171" s="1" t="n">
        <v>49</v>
      </c>
      <c r="D171" s="1" t="n">
        <f aca="false">List_length_06!C5</f>
        <v>91</v>
      </c>
      <c r="E171" s="1" t="n">
        <f aca="false">List_length_06!D5</f>
        <v>49</v>
      </c>
      <c r="G171" s="1" t="str">
        <f aca="false">IF(AND(B171=D171,C171=E171),"OK","CHECK")</f>
        <v>OK</v>
      </c>
    </row>
    <row r="172" customFormat="false" ht="15" hidden="false" customHeight="true" outlineLevel="0" collapsed="false">
      <c r="A172" s="1" t="s">
        <v>265</v>
      </c>
      <c r="B172" s="1" t="n">
        <v>98</v>
      </c>
      <c r="C172" s="1" t="n">
        <v>46</v>
      </c>
      <c r="D172" s="1" t="n">
        <f aca="false">List_length_06!C6</f>
        <v>98</v>
      </c>
      <c r="E172" s="1" t="n">
        <f aca="false">List_length_06!D6</f>
        <v>46</v>
      </c>
      <c r="G172" s="1" t="str">
        <f aca="false">IF(AND(B172=D172,C172=E172),"OK","CHECK")</f>
        <v>OK</v>
      </c>
    </row>
    <row r="173" customFormat="false" ht="15" hidden="false" customHeight="true" outlineLevel="0" collapsed="false">
      <c r="A173" s="1" t="s">
        <v>266</v>
      </c>
      <c r="B173" s="1" t="n">
        <v>90</v>
      </c>
      <c r="C173" s="1" t="n">
        <v>54</v>
      </c>
      <c r="D173" s="1" t="n">
        <f aca="false">List_length_06!C7</f>
        <v>90</v>
      </c>
      <c r="E173" s="1" t="n">
        <f aca="false">List_length_06!D7</f>
        <v>54</v>
      </c>
      <c r="G173" s="1" t="str">
        <f aca="false">IF(AND(B173=D173,C173=E173),"OK","CHECK")</f>
        <v>OK</v>
      </c>
    </row>
    <row r="174" customFormat="false" ht="15" hidden="false" customHeight="true" outlineLevel="0" collapsed="false">
      <c r="A174" s="1" t="s">
        <v>267</v>
      </c>
      <c r="B174" s="1" t="n">
        <v>109</v>
      </c>
      <c r="C174" s="1" t="n">
        <v>56</v>
      </c>
      <c r="D174" s="1" t="n">
        <f aca="false">List_length_06!C8</f>
        <v>109</v>
      </c>
      <c r="E174" s="1" t="n">
        <f aca="false">List_length_06!D8</f>
        <v>56</v>
      </c>
      <c r="G174" s="1" t="str">
        <f aca="false">IF(AND(B174=D174,C174=E174),"OK","CHECK")</f>
        <v>OK</v>
      </c>
    </row>
    <row r="175" customFormat="false" ht="15" hidden="false" customHeight="true" outlineLevel="0" collapsed="false">
      <c r="A175" s="1" t="s">
        <v>268</v>
      </c>
      <c r="B175" s="1" t="n">
        <v>75</v>
      </c>
      <c r="C175" s="1" t="n">
        <v>45</v>
      </c>
      <c r="D175" s="1" t="n">
        <f aca="false">List_length_06!C9</f>
        <v>75</v>
      </c>
      <c r="E175" s="1" t="n">
        <f aca="false">List_length_06!D9</f>
        <v>45</v>
      </c>
      <c r="G175" s="1" t="str">
        <f aca="false">IF(AND(B175=D175,C175=E175),"OK","CHECK")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679</v>
      </c>
    </row>
    <row r="2" customFormat="false" ht="15" hidden="false" customHeight="true" outlineLevel="0" collapsed="false">
      <c r="A2" s="1" t="s">
        <v>680</v>
      </c>
    </row>
    <row r="4" customFormat="false" ht="15" hidden="false" customHeight="true" outlineLevel="0" collapsed="false">
      <c r="A4" s="1" t="s">
        <v>681</v>
      </c>
      <c r="B4" s="94" t="n">
        <f aca="false">EPV_cancer!C7</f>
        <v>161000</v>
      </c>
    </row>
    <row r="6" customFormat="false" ht="15" hidden="false" customHeight="true" outlineLevel="0" collapsed="false">
      <c r="A6" s="1" t="s">
        <v>53</v>
      </c>
      <c r="B6" s="1" t="s">
        <v>54</v>
      </c>
      <c r="C6" s="1" t="s">
        <v>682</v>
      </c>
      <c r="D6" s="1" t="s">
        <v>683</v>
      </c>
      <c r="E6" s="1" t="s">
        <v>684</v>
      </c>
      <c r="F6" s="1" t="s">
        <v>685</v>
      </c>
    </row>
    <row r="7" customFormat="false" ht="15" hidden="false" customHeight="true" outlineLevel="0" collapsed="false">
      <c r="A7" s="1" t="s">
        <v>686</v>
      </c>
      <c r="B7" s="1" t="s">
        <v>687</v>
      </c>
      <c r="C7" s="1" t="n">
        <v>16</v>
      </c>
      <c r="D7" s="1" t="n">
        <v>17</v>
      </c>
      <c r="E7" s="1" t="n">
        <v>104</v>
      </c>
      <c r="F7" s="1" t="n">
        <v>106</v>
      </c>
    </row>
    <row r="8" customFormat="false" ht="15" hidden="false" customHeight="true" outlineLevel="0" collapsed="false">
      <c r="A8" s="1" t="s">
        <v>688</v>
      </c>
      <c r="B8" s="1" t="s">
        <v>689</v>
      </c>
      <c r="D8" s="1" t="n">
        <v>18</v>
      </c>
      <c r="E8" s="1" t="n">
        <v>107</v>
      </c>
      <c r="F8" s="1" t="n">
        <v>109</v>
      </c>
    </row>
    <row r="9" customFormat="false" ht="15" hidden="false" customHeight="true" outlineLevel="0" collapsed="false">
      <c r="A9" s="1" t="s">
        <v>690</v>
      </c>
      <c r="B9" s="1" t="s">
        <v>691</v>
      </c>
      <c r="C9" s="1" t="n">
        <v>19</v>
      </c>
      <c r="D9" s="1" t="n">
        <v>20</v>
      </c>
      <c r="E9" s="1" t="n">
        <v>37</v>
      </c>
      <c r="F9" s="1" t="n">
        <v>39</v>
      </c>
    </row>
    <row r="10" customFormat="false" ht="15" hidden="false" customHeight="true" outlineLevel="0" collapsed="false">
      <c r="A10" s="1" t="s">
        <v>692</v>
      </c>
      <c r="B10" s="1" t="s">
        <v>693</v>
      </c>
      <c r="C10" s="1" t="n">
        <v>21</v>
      </c>
      <c r="D10" s="1" t="n">
        <v>22</v>
      </c>
      <c r="E10" s="1" t="n">
        <v>51</v>
      </c>
      <c r="F10" s="1" t="n">
        <v>53</v>
      </c>
    </row>
    <row r="11" customFormat="false" ht="15" hidden="false" customHeight="true" outlineLevel="0" collapsed="false">
      <c r="A11" s="1" t="s">
        <v>550</v>
      </c>
      <c r="B11" s="1" t="s">
        <v>694</v>
      </c>
      <c r="C11" s="1" t="n">
        <v>23</v>
      </c>
      <c r="D11" s="1" t="n">
        <v>24</v>
      </c>
      <c r="E11" s="1" t="n">
        <v>86</v>
      </c>
      <c r="F11" s="1" t="n">
        <v>88</v>
      </c>
    </row>
    <row r="12" customFormat="false" ht="15" hidden="false" customHeight="true" outlineLevel="0" collapsed="false">
      <c r="A12" s="1" t="s">
        <v>695</v>
      </c>
      <c r="B12" s="1" t="s">
        <v>696</v>
      </c>
      <c r="C12" s="1" t="n">
        <v>25</v>
      </c>
      <c r="D12" s="1" t="n">
        <v>26</v>
      </c>
      <c r="E12" s="1" t="n">
        <v>137</v>
      </c>
      <c r="F12" s="1" t="n">
        <v>139</v>
      </c>
    </row>
    <row r="15" customFormat="false" ht="15" hidden="false" customHeight="true" outlineLevel="0" collapsed="false">
      <c r="A15" s="1" t="s">
        <v>673</v>
      </c>
      <c r="B15" s="1" t="s">
        <v>454</v>
      </c>
      <c r="C15" s="1" t="s">
        <v>697</v>
      </c>
      <c r="D15" s="1" t="s">
        <v>698</v>
      </c>
      <c r="E15" s="1" t="s">
        <v>699</v>
      </c>
      <c r="F15" s="1" t="s">
        <v>700</v>
      </c>
      <c r="G15" s="1" t="s">
        <v>701</v>
      </c>
      <c r="H15" s="1" t="s">
        <v>702</v>
      </c>
    </row>
    <row r="16" customFormat="false" ht="15" hidden="false" customHeight="true" outlineLevel="0" collapsed="false">
      <c r="A16" s="1" t="s">
        <v>264</v>
      </c>
      <c r="B16" s="1" t="s">
        <v>463</v>
      </c>
      <c r="C16" s="1" t="s">
        <v>686</v>
      </c>
      <c r="D16" s="1" t="n">
        <f aca="false">Portfolio!D16*Wording_Scores!$C$104*Benefit_b!$C$106*$B$4</f>
        <v>11974.101446469</v>
      </c>
      <c r="E16" s="1" t="n">
        <f aca="false">Portfolio!E16*Wording_Scores!$C$104*Benefit_b!$C$106*$B$4</f>
        <v>13341.5625474295</v>
      </c>
      <c r="F16" s="1" t="n">
        <f aca="false">Portfolio!F16*Wording_Scores!$C$104*Benefit_b!$C$106*$B$4</f>
        <v>14696.1280693611</v>
      </c>
      <c r="G16" s="1" t="n">
        <f aca="false">Portfolio!G16*Wording_Scores!$C$104*Benefit_b!$C$106*$B$4</f>
        <v>15885.6414776346</v>
      </c>
      <c r="H16" s="1" t="n">
        <f aca="false">Portfolio!H16*Wording_Scores!$C$104*Benefit_b!$C$106*$B$4</f>
        <v>16482.8000748876</v>
      </c>
    </row>
    <row r="17" customFormat="false" ht="15" hidden="false" customHeight="true" outlineLevel="0" collapsed="false">
      <c r="A17" s="1" t="s">
        <v>264</v>
      </c>
      <c r="B17" s="1" t="s">
        <v>463</v>
      </c>
      <c r="C17" s="1" t="s">
        <v>690</v>
      </c>
      <c r="D17" s="1" t="n">
        <f aca="false">Portfolio!D19*Wording_Scores!$C$37*Benefit_b!$C$39*$B$4</f>
        <v>1078.44994952808</v>
      </c>
      <c r="E17" s="1" t="n">
        <f aca="false">Portfolio!E19*Wording_Scores!$C$37*Benefit_b!$C$39*$B$4</f>
        <v>1206.52876413684</v>
      </c>
      <c r="F17" s="1" t="n">
        <f aca="false">Portfolio!F19*Wording_Scores!$C$37*Benefit_b!$C$39*$B$4</f>
        <v>1355.00721337985</v>
      </c>
      <c r="G17" s="1" t="n">
        <f aca="false">Portfolio!G19*Wording_Scores!$C$37*Benefit_b!$C$39*$B$4</f>
        <v>1527.13443017954</v>
      </c>
      <c r="H17" s="1" t="n">
        <f aca="false">Portfolio!H19*Wording_Scores!$C$37*Benefit_b!$C$39*$B$4</f>
        <v>1225.39825254364</v>
      </c>
    </row>
    <row r="18" customFormat="false" ht="15" hidden="false" customHeight="true" outlineLevel="0" collapsed="false">
      <c r="A18" s="1" t="s">
        <v>264</v>
      </c>
      <c r="B18" s="1" t="s">
        <v>463</v>
      </c>
      <c r="C18" s="1" t="s">
        <v>692</v>
      </c>
      <c r="D18" s="1" t="n">
        <f aca="false">Portfolio!D21*Wording_Scores!$C$51*Benefit_b!$C$53*$B$4</f>
        <v>1175.86214792538</v>
      </c>
      <c r="E18" s="1" t="n">
        <f aca="false">Portfolio!E21*Wording_Scores!$C$51*Benefit_b!$C$53*$B$4</f>
        <v>1296.08410565823</v>
      </c>
      <c r="F18" s="1" t="n">
        <f aca="false">Portfolio!F21*Wording_Scores!$C$51*Benefit_b!$C$53*$B$4</f>
        <v>1435.45430441951</v>
      </c>
      <c r="G18" s="1" t="n">
        <f aca="false">Portfolio!G21*Wording_Scores!$C$51*Benefit_b!$C$53*$B$4</f>
        <v>1597.02256257349</v>
      </c>
      <c r="H18" s="1" t="n">
        <f aca="false">Portfolio!H21*Wording_Scores!$C$51*Benefit_b!$C$53*$B$4</f>
        <v>1281.47766088952</v>
      </c>
    </row>
    <row r="19" customFormat="false" ht="15" hidden="false" customHeight="true" outlineLevel="0" collapsed="false">
      <c r="A19" s="1" t="s">
        <v>264</v>
      </c>
      <c r="B19" s="1" t="s">
        <v>463</v>
      </c>
      <c r="C19" s="1" t="s">
        <v>550</v>
      </c>
      <c r="D19" s="1" t="n">
        <f aca="false">Portfolio!D23*Wording_Scores!$C$86*Benefit_b!$C$88*$B$4</f>
        <v>51.2801964378246</v>
      </c>
      <c r="E19" s="1" t="n">
        <f aca="false">Portfolio!E23*Wording_Scores!$C$86*Benefit_b!$C$88*$B$4</f>
        <v>46.7773159697537</v>
      </c>
      <c r="F19" s="1" t="n">
        <f aca="false">Portfolio!F23*Wording_Scores!$C$86*Benefit_b!$C$88*$B$4</f>
        <v>41.5572433834472</v>
      </c>
      <c r="G19" s="1" t="n">
        <f aca="false">Portfolio!G23*Wording_Scores!$C$86*Benefit_b!$C$88*$B$4</f>
        <v>35.5057485681781</v>
      </c>
      <c r="H19" s="1" t="n">
        <f aca="false">Portfolio!H23*Wording_Scores!$C$86*Benefit_b!$C$88*$B$4</f>
        <v>28.4904075180756</v>
      </c>
    </row>
    <row r="20" customFormat="false" ht="15" hidden="false" customHeight="true" outlineLevel="0" collapsed="false">
      <c r="A20" s="1" t="s">
        <v>264</v>
      </c>
      <c r="B20" s="1" t="s">
        <v>463</v>
      </c>
      <c r="C20" s="1" t="s">
        <v>695</v>
      </c>
      <c r="D20" s="1" t="n">
        <f aca="false">Portfolio!D25*Wording_Scores!$C$137*Benefit_b!$C$139*$B$4</f>
        <v>221.3954596962</v>
      </c>
      <c r="E20" s="1" t="n">
        <f aca="false">Portfolio!E25*Wording_Scores!$C$137*Benefit_b!$C$139*$B$4</f>
        <v>201.954869362379</v>
      </c>
      <c r="F20" s="1" t="n">
        <f aca="false">Portfolio!F25*Wording_Scores!$C$137*Benefit_b!$C$139*$B$4</f>
        <v>179.417896999294</v>
      </c>
      <c r="G20" s="1" t="n">
        <f aca="false">Portfolio!G25*Wording_Scores!$C$137*Benefit_b!$C$139*$B$4</f>
        <v>153.291369225553</v>
      </c>
      <c r="H20" s="1" t="n">
        <f aca="false">Portfolio!H25*Wording_Scores!$C$137*Benefit_b!$C$139*$B$4</f>
        <v>123.003562925977</v>
      </c>
    </row>
    <row r="21" customFormat="false" ht="15" hidden="false" customHeight="true" outlineLevel="0" collapsed="false">
      <c r="A21" s="1" t="s">
        <v>264</v>
      </c>
      <c r="B21" s="1" t="s">
        <v>465</v>
      </c>
      <c r="C21" s="1" t="s">
        <v>686</v>
      </c>
      <c r="D21" s="1" t="n">
        <f aca="false">Portfolio!D17*Wording_Scores!$C$104*Benefit_b!$C$106*$B$4</f>
        <v>13433.4893648096</v>
      </c>
      <c r="E21" s="1" t="n">
        <f aca="false">Portfolio!E17*Wording_Scores!$C$104*Benefit_b!$C$106*$B$4</f>
        <v>14557.2066023901</v>
      </c>
      <c r="F21" s="1" t="n">
        <f aca="false">Portfolio!F17*Wording_Scores!$C$104*Benefit_b!$C$106*$B$4</f>
        <v>15415.2123721635</v>
      </c>
      <c r="G21" s="1" t="n">
        <f aca="false">Portfolio!G17*Wording_Scores!$C$104*Benefit_b!$C$106*$B$4</f>
        <v>15578.4746412477</v>
      </c>
      <c r="H21" s="1" t="n">
        <f aca="false">Portfolio!H17*Wording_Scores!$C$104*Benefit_b!$C$106*$B$4</f>
        <v>14658.3648255406</v>
      </c>
    </row>
    <row r="22" customFormat="false" ht="15" hidden="false" customHeight="true" outlineLevel="0" collapsed="false">
      <c r="A22" s="1" t="s">
        <v>264</v>
      </c>
      <c r="B22" s="1" t="s">
        <v>465</v>
      </c>
      <c r="C22" s="1" t="s">
        <v>688</v>
      </c>
      <c r="D22" s="1" t="n">
        <f aca="false">Portfolio!D18*Wording_Scores!$C$107*Benefit_b!$C$109*$B$4</f>
        <v>97.3599041020834</v>
      </c>
      <c r="E22" s="1" t="n">
        <f aca="false">Portfolio!E18*Wording_Scores!$C$107*Benefit_b!$C$109*$B$4</f>
        <v>111.263465792559</v>
      </c>
      <c r="F22" s="1" t="n">
        <f aca="false">Portfolio!F18*Wording_Scores!$C$107*Benefit_b!$C$109*$B$4</f>
        <v>122.093816645197</v>
      </c>
      <c r="G22" s="1" t="n">
        <f aca="false">Portfolio!G18*Wording_Scores!$C$107*Benefit_b!$C$109*$B$4</f>
        <v>125.401649967301</v>
      </c>
      <c r="H22" s="1" t="n">
        <f aca="false">Portfolio!H18*Wording_Scores!$C$107*Benefit_b!$C$109*$B$4</f>
        <v>118.291125458893</v>
      </c>
    </row>
    <row r="23" customFormat="false" ht="15" hidden="false" customHeight="true" outlineLevel="0" collapsed="false">
      <c r="A23" s="1" t="s">
        <v>264</v>
      </c>
      <c r="B23" s="1" t="s">
        <v>465</v>
      </c>
      <c r="C23" s="1" t="s">
        <v>690</v>
      </c>
      <c r="D23" s="1" t="n">
        <f aca="false">Portfolio!D20*Wording_Scores!$C$37*Benefit_b!$C$39*$B$4</f>
        <v>265.582005888689</v>
      </c>
      <c r="E23" s="1" t="n">
        <f aca="false">Portfolio!E20*Wording_Scores!$C$37*Benefit_b!$C$39*$B$4</f>
        <v>297.950185103001</v>
      </c>
      <c r="F23" s="1" t="n">
        <f aca="false">Portfolio!F20*Wording_Scores!$C$37*Benefit_b!$C$39*$B$4</f>
        <v>335.47377609845</v>
      </c>
      <c r="G23" s="1" t="n">
        <f aca="false">Portfolio!G20*Wording_Scores!$C$37*Benefit_b!$C$39*$B$4</f>
        <v>378.973902314111</v>
      </c>
      <c r="H23" s="1" t="n">
        <f aca="false">Portfolio!H20*Wording_Scores!$C$37*Benefit_b!$C$39*$B$4</f>
        <v>304.095008584646</v>
      </c>
    </row>
    <row r="24" customFormat="false" ht="15" hidden="false" customHeight="true" outlineLevel="0" collapsed="false">
      <c r="A24" s="1" t="s">
        <v>264</v>
      </c>
      <c r="B24" s="1" t="s">
        <v>465</v>
      </c>
      <c r="C24" s="1" t="s">
        <v>692</v>
      </c>
      <c r="D24" s="1" t="n">
        <f aca="false">Portfolio!D22*Wording_Scores!$C$51*Benefit_b!$C$53*$B$4</f>
        <v>744.803325905048</v>
      </c>
      <c r="E24" s="1" t="n">
        <f aca="false">Portfolio!E22*Wording_Scores!$C$51*Benefit_b!$C$53*$B$4</f>
        <v>805.056100648549</v>
      </c>
      <c r="F24" s="1" t="n">
        <f aca="false">Portfolio!F22*Wording_Scores!$C$51*Benefit_b!$C$53*$B$4</f>
        <v>874.905580313328</v>
      </c>
      <c r="G24" s="1" t="n">
        <f aca="false">Portfolio!G22*Wording_Scores!$C$51*Benefit_b!$C$53*$B$4</f>
        <v>955.88027119205</v>
      </c>
      <c r="H24" s="1" t="n">
        <f aca="false">Portfolio!H22*Wording_Scores!$C$51*Benefit_b!$C$53*$B$4</f>
        <v>767.014344521045</v>
      </c>
    </row>
    <row r="25" customFormat="false" ht="15" hidden="false" customHeight="true" outlineLevel="0" collapsed="false">
      <c r="A25" s="1" t="s">
        <v>264</v>
      </c>
      <c r="B25" s="1" t="s">
        <v>465</v>
      </c>
      <c r="C25" s="1" t="s">
        <v>550</v>
      </c>
      <c r="D25" s="1" t="n">
        <f aca="false">Portfolio!D24*Wording_Scores!$C$86*Benefit_b!$C$88*$B$4</f>
        <v>123.069278880915</v>
      </c>
      <c r="E25" s="1" t="n">
        <f aca="false">Portfolio!E24*Wording_Scores!$C$86*Benefit_b!$C$88*$B$4</f>
        <v>112.262646095014</v>
      </c>
      <c r="F25" s="1" t="n">
        <f aca="false">Portfolio!F24*Wording_Scores!$C$86*Benefit_b!$C$88*$B$4</f>
        <v>99.7347968758382</v>
      </c>
      <c r="G25" s="1" t="n">
        <f aca="false">Portfolio!G24*Wording_Scores!$C$86*Benefit_b!$C$88*$B$4</f>
        <v>85.2115860693086</v>
      </c>
      <c r="H25" s="1" t="n">
        <f aca="false">Portfolio!H24*Wording_Scores!$C$86*Benefit_b!$C$88*$B$4</f>
        <v>68.3752043057052</v>
      </c>
    </row>
    <row r="26" customFormat="false" ht="15" hidden="false" customHeight="true" outlineLevel="0" collapsed="false">
      <c r="A26" s="1" t="s">
        <v>264</v>
      </c>
      <c r="B26" s="1" t="s">
        <v>465</v>
      </c>
      <c r="C26" s="1" t="s">
        <v>695</v>
      </c>
      <c r="D26" s="1" t="n">
        <f aca="false">Portfolio!D26*Wording_Scores!$C$137*Benefit_b!$C$139*$B$4</f>
        <v>138.374237885805</v>
      </c>
      <c r="E26" s="1" t="n">
        <f aca="false">Portfolio!E26*Wording_Scores!$C$137*Benefit_b!$C$139*$B$4</f>
        <v>126.223686672226</v>
      </c>
      <c r="F26" s="1" t="n">
        <f aca="false">Portfolio!F26*Wording_Scores!$C$137*Benefit_b!$C$139*$B$4</f>
        <v>112.137867661869</v>
      </c>
      <c r="G26" s="1" t="n">
        <f aca="false">Portfolio!G26*Wording_Scores!$C$137*Benefit_b!$C$139*$B$4</f>
        <v>95.8085428678806</v>
      </c>
      <c r="H26" s="1" t="n">
        <f aca="false">Portfolio!H26*Wording_Scores!$C$137*Benefit_b!$C$139*$B$4</f>
        <v>76.8783799833854</v>
      </c>
    </row>
    <row r="27" customFormat="false" ht="15" hidden="false" customHeight="true" outlineLevel="0" collapsed="false">
      <c r="A27" s="1" t="s">
        <v>265</v>
      </c>
      <c r="B27" s="1" t="s">
        <v>463</v>
      </c>
      <c r="C27" s="1" t="s">
        <v>686</v>
      </c>
      <c r="D27" s="1" t="n">
        <f aca="false">Portfolio!D16*Wording_Scores!$D$104*Benefit_b!$D$106*$B$4</f>
        <v>4789.64057858761</v>
      </c>
      <c r="E27" s="1" t="n">
        <f aca="false">Portfolio!E16*Wording_Scores!$D$104*Benefit_b!$D$106*$B$4</f>
        <v>5336.62501897181</v>
      </c>
      <c r="F27" s="1" t="n">
        <f aca="false">Portfolio!F16*Wording_Scores!$D$104*Benefit_b!$D$106*$B$4</f>
        <v>5878.45122774443</v>
      </c>
      <c r="G27" s="1" t="n">
        <f aca="false">Portfolio!G16*Wording_Scores!$D$104*Benefit_b!$D$106*$B$4</f>
        <v>6354.25659105386</v>
      </c>
      <c r="H27" s="1" t="n">
        <f aca="false">Portfolio!H16*Wording_Scores!$D$104*Benefit_b!$D$106*$B$4</f>
        <v>6593.12002995505</v>
      </c>
    </row>
    <row r="28" customFormat="false" ht="15" hidden="false" customHeight="true" outlineLevel="0" collapsed="false">
      <c r="A28" s="1" t="s">
        <v>265</v>
      </c>
      <c r="B28" s="1" t="s">
        <v>463</v>
      </c>
      <c r="C28" s="1" t="s">
        <v>690</v>
      </c>
      <c r="D28" s="1" t="n">
        <f aca="false">Portfolio!D19*Wording_Scores!$D$37*Benefit_b!$D$39*$B$4</f>
        <v>4313.79979811231</v>
      </c>
      <c r="E28" s="1" t="n">
        <f aca="false">Portfolio!E19*Wording_Scores!$D$37*Benefit_b!$D$39*$B$4</f>
        <v>4826.11505654736</v>
      </c>
      <c r="F28" s="1" t="n">
        <f aca="false">Portfolio!F19*Wording_Scores!$D$37*Benefit_b!$D$39*$B$4</f>
        <v>5420.0288535194</v>
      </c>
      <c r="G28" s="1" t="n">
        <f aca="false">Portfolio!G19*Wording_Scores!$D$37*Benefit_b!$D$39*$B$4</f>
        <v>6108.53772071817</v>
      </c>
      <c r="H28" s="1" t="n">
        <f aca="false">Portfolio!H19*Wording_Scores!$D$37*Benefit_b!$D$39*$B$4</f>
        <v>4901.59301017457</v>
      </c>
    </row>
    <row r="29" customFormat="false" ht="15" hidden="false" customHeight="true" outlineLevel="0" collapsed="false">
      <c r="A29" s="1" t="s">
        <v>265</v>
      </c>
      <c r="B29" s="1" t="s">
        <v>463</v>
      </c>
      <c r="C29" s="1" t="s">
        <v>692</v>
      </c>
      <c r="D29" s="1" t="n">
        <f aca="false">Portfolio!D21*Wording_Scores!$D$51*Benefit_b!$D$53*$B$4</f>
        <v>2351.72429585077</v>
      </c>
      <c r="E29" s="1" t="n">
        <f aca="false">Portfolio!E21*Wording_Scores!$D$51*Benefit_b!$D$53*$B$4</f>
        <v>2592.16821131646</v>
      </c>
      <c r="F29" s="1" t="n">
        <f aca="false">Portfolio!F21*Wording_Scores!$D$51*Benefit_b!$D$53*$B$4</f>
        <v>2870.90860883901</v>
      </c>
      <c r="G29" s="1" t="n">
        <f aca="false">Portfolio!G21*Wording_Scores!$D$51*Benefit_b!$D$53*$B$4</f>
        <v>3194.04512514698</v>
      </c>
      <c r="H29" s="1" t="n">
        <f aca="false">Portfolio!H21*Wording_Scores!$D$51*Benefit_b!$D$53*$B$4</f>
        <v>2562.95532177904</v>
      </c>
    </row>
    <row r="30" customFormat="false" ht="15" hidden="false" customHeight="true" outlineLevel="0" collapsed="false">
      <c r="A30" s="1" t="s">
        <v>265</v>
      </c>
      <c r="B30" s="1" t="s">
        <v>463</v>
      </c>
      <c r="C30" s="1" t="s">
        <v>550</v>
      </c>
      <c r="D30" s="1" t="n">
        <f aca="false">Portfolio!D23*Wording_Scores!$D$86*Benefit_b!$D$88*$B$4</f>
        <v>102.560392875649</v>
      </c>
      <c r="E30" s="1" t="n">
        <f aca="false">Portfolio!E23*Wording_Scores!$D$86*Benefit_b!$D$88*$B$4</f>
        <v>93.5546319395074</v>
      </c>
      <c r="F30" s="1" t="n">
        <f aca="false">Portfolio!F23*Wording_Scores!$D$86*Benefit_b!$D$88*$B$4</f>
        <v>83.1144867668945</v>
      </c>
      <c r="G30" s="1" t="n">
        <f aca="false">Portfolio!G23*Wording_Scores!$D$86*Benefit_b!$D$88*$B$4</f>
        <v>71.0114971363561</v>
      </c>
      <c r="H30" s="1" t="n">
        <f aca="false">Portfolio!H23*Wording_Scores!$D$86*Benefit_b!$D$88*$B$4</f>
        <v>56.9808150361512</v>
      </c>
    </row>
    <row r="31" customFormat="false" ht="15" hidden="false" customHeight="true" outlineLevel="0" collapsed="false">
      <c r="A31" s="1" t="s">
        <v>265</v>
      </c>
      <c r="B31" s="1" t="s">
        <v>463</v>
      </c>
      <c r="C31" s="1" t="s">
        <v>695</v>
      </c>
      <c r="D31" s="1" t="n">
        <f aca="false">Portfolio!D25*Wording_Scores!$D$137*Benefit_b!$D$139*$B$4</f>
        <v>110.6977298481</v>
      </c>
      <c r="E31" s="1" t="n">
        <f aca="false">Portfolio!E25*Wording_Scores!$D$137*Benefit_b!$D$139*$B$4</f>
        <v>100.97743468119</v>
      </c>
      <c r="F31" s="1" t="n">
        <f aca="false">Portfolio!F25*Wording_Scores!$D$137*Benefit_b!$D$139*$B$4</f>
        <v>89.7089484996468</v>
      </c>
      <c r="G31" s="1" t="n">
        <f aca="false">Portfolio!G25*Wording_Scores!$D$137*Benefit_b!$D$139*$B$4</f>
        <v>76.6456846127766</v>
      </c>
      <c r="H31" s="1" t="n">
        <f aca="false">Portfolio!H25*Wording_Scores!$D$137*Benefit_b!$D$139*$B$4</f>
        <v>61.5017814629884</v>
      </c>
    </row>
    <row r="32" customFormat="false" ht="15" hidden="false" customHeight="true" outlineLevel="0" collapsed="false">
      <c r="A32" s="1" t="s">
        <v>265</v>
      </c>
      <c r="B32" s="1" t="s">
        <v>465</v>
      </c>
      <c r="C32" s="1" t="s">
        <v>686</v>
      </c>
      <c r="D32" s="1" t="n">
        <f aca="false">Portfolio!D17*Wording_Scores!$D$104*Benefit_b!$D$106*$B$4</f>
        <v>5373.39574592385</v>
      </c>
      <c r="E32" s="1" t="n">
        <f aca="false">Portfolio!E17*Wording_Scores!$D$104*Benefit_b!$D$106*$B$4</f>
        <v>5822.88264095606</v>
      </c>
      <c r="F32" s="1" t="n">
        <f aca="false">Portfolio!F17*Wording_Scores!$D$104*Benefit_b!$D$106*$B$4</f>
        <v>6166.0849488654</v>
      </c>
      <c r="G32" s="1" t="n">
        <f aca="false">Portfolio!G17*Wording_Scores!$D$104*Benefit_b!$D$106*$B$4</f>
        <v>6231.38985649908</v>
      </c>
      <c r="H32" s="1" t="n">
        <f aca="false">Portfolio!H17*Wording_Scores!$D$104*Benefit_b!$D$106*$B$4</f>
        <v>5863.34593021624</v>
      </c>
    </row>
    <row r="33" customFormat="false" ht="15" hidden="false" customHeight="true" outlineLevel="0" collapsed="false">
      <c r="A33" s="1" t="s">
        <v>265</v>
      </c>
      <c r="B33" s="1" t="s">
        <v>465</v>
      </c>
      <c r="C33" s="1" t="s">
        <v>688</v>
      </c>
      <c r="D33" s="1" t="n">
        <f aca="false">Portfolio!D18*Wording_Scores!$D$107*Benefit_b!$D$109*$B$4</f>
        <v>43.8119568459375</v>
      </c>
      <c r="E33" s="1" t="n">
        <f aca="false">Portfolio!E18*Wording_Scores!$D$107*Benefit_b!$D$109*$B$4</f>
        <v>50.0685596066516</v>
      </c>
      <c r="F33" s="1" t="n">
        <f aca="false">Portfolio!F18*Wording_Scores!$D$107*Benefit_b!$D$109*$B$4</f>
        <v>54.9422174903386</v>
      </c>
      <c r="G33" s="1" t="n">
        <f aca="false">Portfolio!G18*Wording_Scores!$D$107*Benefit_b!$D$109*$B$4</f>
        <v>56.4307424852852</v>
      </c>
      <c r="H33" s="1" t="n">
        <f aca="false">Portfolio!H18*Wording_Scores!$D$107*Benefit_b!$D$109*$B$4</f>
        <v>53.2310064565018</v>
      </c>
    </row>
    <row r="34" customFormat="false" ht="15" hidden="false" customHeight="true" outlineLevel="0" collapsed="false">
      <c r="A34" s="1" t="s">
        <v>265</v>
      </c>
      <c r="B34" s="1" t="s">
        <v>465</v>
      </c>
      <c r="C34" s="1" t="s">
        <v>690</v>
      </c>
      <c r="D34" s="1" t="n">
        <f aca="false">Portfolio!D20*Wording_Scores!$D$37*Benefit_b!$D$39*$B$4</f>
        <v>1062.32802355475</v>
      </c>
      <c r="E34" s="1" t="n">
        <f aca="false">Portfolio!E20*Wording_Scores!$D$37*Benefit_b!$D$39*$B$4</f>
        <v>1191.80074041201</v>
      </c>
      <c r="F34" s="1" t="n">
        <f aca="false">Portfolio!F20*Wording_Scores!$D$37*Benefit_b!$D$39*$B$4</f>
        <v>1341.8951043938</v>
      </c>
      <c r="G34" s="1" t="n">
        <f aca="false">Portfolio!G20*Wording_Scores!$D$37*Benefit_b!$D$39*$B$4</f>
        <v>1515.89560925644</v>
      </c>
      <c r="H34" s="1" t="n">
        <f aca="false">Portfolio!H20*Wording_Scores!$D$37*Benefit_b!$D$39*$B$4</f>
        <v>1216.38003433859</v>
      </c>
    </row>
    <row r="35" customFormat="false" ht="15" hidden="false" customHeight="true" outlineLevel="0" collapsed="false">
      <c r="A35" s="1" t="s">
        <v>265</v>
      </c>
      <c r="B35" s="1" t="s">
        <v>465</v>
      </c>
      <c r="C35" s="1" t="s">
        <v>692</v>
      </c>
      <c r="D35" s="1" t="n">
        <f aca="false">Portfolio!D22*Wording_Scores!$D$51*Benefit_b!$D$53*$B$4</f>
        <v>1489.6066518101</v>
      </c>
      <c r="E35" s="1" t="n">
        <f aca="false">Portfolio!E22*Wording_Scores!$D$51*Benefit_b!$D$53*$B$4</f>
        <v>1610.1122012971</v>
      </c>
      <c r="F35" s="1" t="n">
        <f aca="false">Portfolio!F22*Wording_Scores!$D$51*Benefit_b!$D$53*$B$4</f>
        <v>1749.81116062666</v>
      </c>
      <c r="G35" s="1" t="n">
        <f aca="false">Portfolio!G22*Wording_Scores!$D$51*Benefit_b!$D$53*$B$4</f>
        <v>1911.7605423841</v>
      </c>
      <c r="H35" s="1" t="n">
        <f aca="false">Portfolio!H22*Wording_Scores!$D$51*Benefit_b!$D$53*$B$4</f>
        <v>1534.02868904209</v>
      </c>
    </row>
    <row r="36" customFormat="false" ht="15" hidden="false" customHeight="true" outlineLevel="0" collapsed="false">
      <c r="A36" s="1" t="s">
        <v>265</v>
      </c>
      <c r="B36" s="1" t="s">
        <v>465</v>
      </c>
      <c r="C36" s="1" t="s">
        <v>550</v>
      </c>
      <c r="D36" s="1" t="n">
        <f aca="false">Portfolio!D24*Wording_Scores!$D$86*Benefit_b!$D$88*$B$4</f>
        <v>246.138557761829</v>
      </c>
      <c r="E36" s="1" t="n">
        <f aca="false">Portfolio!E24*Wording_Scores!$D$86*Benefit_b!$D$88*$B$4</f>
        <v>224.525292190027</v>
      </c>
      <c r="F36" s="1" t="n">
        <f aca="false">Portfolio!F24*Wording_Scores!$D$86*Benefit_b!$D$88*$B$4</f>
        <v>199.469593751676</v>
      </c>
      <c r="G36" s="1" t="n">
        <f aca="false">Portfolio!G24*Wording_Scores!$D$86*Benefit_b!$D$88*$B$4</f>
        <v>170.423172138617</v>
      </c>
      <c r="H36" s="1" t="n">
        <f aca="false">Portfolio!H24*Wording_Scores!$D$86*Benefit_b!$D$88*$B$4</f>
        <v>136.75040861141</v>
      </c>
    </row>
    <row r="37" customFormat="false" ht="15" hidden="false" customHeight="true" outlineLevel="0" collapsed="false">
      <c r="A37" s="1" t="s">
        <v>265</v>
      </c>
      <c r="B37" s="1" t="s">
        <v>465</v>
      </c>
      <c r="C37" s="1" t="s">
        <v>695</v>
      </c>
      <c r="D37" s="1" t="n">
        <f aca="false">Portfolio!D26*Wording_Scores!$D$137*Benefit_b!$D$139*$B$4</f>
        <v>69.1871189429026</v>
      </c>
      <c r="E37" s="1" t="n">
        <f aca="false">Portfolio!E26*Wording_Scores!$D$137*Benefit_b!$D$139*$B$4</f>
        <v>63.111843336113</v>
      </c>
      <c r="F37" s="1" t="n">
        <f aca="false">Portfolio!F26*Wording_Scores!$D$137*Benefit_b!$D$139*$B$4</f>
        <v>56.0689338309346</v>
      </c>
      <c r="G37" s="1" t="n">
        <f aca="false">Portfolio!G26*Wording_Scores!$D$137*Benefit_b!$D$139*$B$4</f>
        <v>47.9042714339403</v>
      </c>
      <c r="H37" s="1" t="n">
        <f aca="false">Portfolio!H26*Wording_Scores!$D$137*Benefit_b!$D$139*$B$4</f>
        <v>38.4391899916927</v>
      </c>
    </row>
    <row r="38" customFormat="false" ht="15" hidden="false" customHeight="true" outlineLevel="0" collapsed="false">
      <c r="A38" s="1" t="s">
        <v>266</v>
      </c>
      <c r="B38" s="1" t="s">
        <v>463</v>
      </c>
      <c r="C38" s="1" t="s">
        <v>686</v>
      </c>
      <c r="D38" s="1" t="n">
        <f aca="false">Portfolio!D16*Wording_Scores!$E$104*Benefit_b!$E$106*$B$4</f>
        <v>2394.8202892938</v>
      </c>
      <c r="E38" s="1" t="n">
        <f aca="false">Portfolio!E16*Wording_Scores!$E$104*Benefit_b!$E$106*$B$4</f>
        <v>2668.31250948591</v>
      </c>
      <c r="F38" s="1" t="n">
        <f aca="false">Portfolio!F16*Wording_Scores!$E$104*Benefit_b!$E$106*$B$4</f>
        <v>2939.22561387222</v>
      </c>
      <c r="G38" s="1" t="n">
        <f aca="false">Portfolio!G16*Wording_Scores!$E$104*Benefit_b!$E$106*$B$4</f>
        <v>3177.12829552693</v>
      </c>
      <c r="H38" s="1" t="n">
        <f aca="false">Portfolio!H16*Wording_Scores!$E$104*Benefit_b!$E$106*$B$4</f>
        <v>3296.56001497753</v>
      </c>
    </row>
    <row r="39" customFormat="false" ht="15" hidden="false" customHeight="true" outlineLevel="0" collapsed="false">
      <c r="A39" s="1" t="s">
        <v>266</v>
      </c>
      <c r="B39" s="1" t="s">
        <v>463</v>
      </c>
      <c r="C39" s="1" t="s">
        <v>690</v>
      </c>
      <c r="D39" s="1" t="n">
        <f aca="false">Portfolio!D19*Wording_Scores!$E$37*Benefit_b!$E$39*$B$4</f>
        <v>2156.89989905616</v>
      </c>
      <c r="E39" s="1" t="n">
        <f aca="false">Portfolio!E19*Wording_Scores!$E$37*Benefit_b!$E$39*$B$4</f>
        <v>2413.05752827368</v>
      </c>
      <c r="F39" s="1" t="n">
        <f aca="false">Portfolio!F19*Wording_Scores!$E$37*Benefit_b!$E$39*$B$4</f>
        <v>2710.0144267597</v>
      </c>
      <c r="G39" s="1" t="n">
        <f aca="false">Portfolio!G19*Wording_Scores!$E$37*Benefit_b!$E$39*$B$4</f>
        <v>3054.26886035908</v>
      </c>
      <c r="H39" s="1" t="n">
        <f aca="false">Portfolio!H19*Wording_Scores!$E$37*Benefit_b!$E$39*$B$4</f>
        <v>2450.79650508728</v>
      </c>
    </row>
    <row r="40" customFormat="false" ht="15" hidden="false" customHeight="true" outlineLevel="0" collapsed="false">
      <c r="A40" s="1" t="s">
        <v>266</v>
      </c>
      <c r="B40" s="1" t="s">
        <v>463</v>
      </c>
      <c r="C40" s="1" t="s">
        <v>692</v>
      </c>
      <c r="D40" s="1" t="n">
        <f aca="false">Portfolio!D21*Wording_Scores!$E$51*Benefit_b!$E$53*$B$4</f>
        <v>1763.79322188807</v>
      </c>
      <c r="E40" s="1" t="n">
        <f aca="false">Portfolio!E21*Wording_Scores!$E$51*Benefit_b!$E$53*$B$4</f>
        <v>1944.12615848734</v>
      </c>
      <c r="F40" s="1" t="n">
        <f aca="false">Portfolio!F21*Wording_Scores!$E$51*Benefit_b!$E$53*$B$4</f>
        <v>2153.18145662926</v>
      </c>
      <c r="G40" s="1" t="n">
        <f aca="false">Portfolio!G21*Wording_Scores!$E$51*Benefit_b!$E$53*$B$4</f>
        <v>2395.53384386024</v>
      </c>
      <c r="H40" s="1" t="n">
        <f aca="false">Portfolio!H21*Wording_Scores!$E$51*Benefit_b!$E$53*$B$4</f>
        <v>1922.21649133428</v>
      </c>
    </row>
    <row r="41" customFormat="false" ht="15" hidden="false" customHeight="true" outlineLevel="0" collapsed="false">
      <c r="A41" s="1" t="s">
        <v>266</v>
      </c>
      <c r="B41" s="1" t="s">
        <v>463</v>
      </c>
      <c r="C41" s="1" t="s">
        <v>550</v>
      </c>
      <c r="D41" s="1" t="n">
        <f aca="false">Portfolio!D23*Wording_Scores!$E$86*Benefit_b!$E$88*$B$4</f>
        <v>76.9202946567369</v>
      </c>
      <c r="E41" s="1" t="n">
        <f aca="false">Portfolio!E23*Wording_Scores!$E$86*Benefit_b!$E$88*$B$4</f>
        <v>70.1659739546305</v>
      </c>
      <c r="F41" s="1" t="n">
        <f aca="false">Portfolio!F23*Wording_Scores!$E$86*Benefit_b!$E$88*$B$4</f>
        <v>62.3358650751709</v>
      </c>
      <c r="G41" s="1" t="n">
        <f aca="false">Portfolio!G23*Wording_Scores!$E$86*Benefit_b!$E$88*$B$4</f>
        <v>53.2586228522671</v>
      </c>
      <c r="H41" s="1" t="n">
        <f aca="false">Portfolio!H23*Wording_Scores!$E$86*Benefit_b!$E$88*$B$4</f>
        <v>42.7356112771134</v>
      </c>
    </row>
    <row r="42" customFormat="false" ht="15" hidden="false" customHeight="true" outlineLevel="0" collapsed="false">
      <c r="A42" s="1" t="s">
        <v>266</v>
      </c>
      <c r="B42" s="1" t="s">
        <v>463</v>
      </c>
      <c r="C42" s="1" t="s">
        <v>695</v>
      </c>
      <c r="D42" s="1" t="n">
        <f aca="false">Portfolio!D25*Wording_Scores!$E$137*Benefit_b!$E$139*$B$4</f>
        <v>55.3488649240499</v>
      </c>
      <c r="E42" s="1" t="n">
        <f aca="false">Portfolio!E25*Wording_Scores!$E$137*Benefit_b!$E$139*$B$4</f>
        <v>50.4887173405948</v>
      </c>
      <c r="F42" s="1" t="n">
        <f aca="false">Portfolio!F25*Wording_Scores!$E$137*Benefit_b!$E$139*$B$4</f>
        <v>44.8544742498234</v>
      </c>
      <c r="G42" s="1" t="n">
        <f aca="false">Portfolio!G25*Wording_Scores!$E$137*Benefit_b!$E$139*$B$4</f>
        <v>38.3228423063883</v>
      </c>
      <c r="H42" s="1" t="n">
        <f aca="false">Portfolio!H25*Wording_Scores!$E$137*Benefit_b!$E$139*$B$4</f>
        <v>30.7508907314942</v>
      </c>
    </row>
    <row r="43" customFormat="false" ht="15" hidden="false" customHeight="true" outlineLevel="0" collapsed="false">
      <c r="A43" s="1" t="s">
        <v>266</v>
      </c>
      <c r="B43" s="1" t="s">
        <v>465</v>
      </c>
      <c r="C43" s="1" t="s">
        <v>686</v>
      </c>
      <c r="D43" s="1" t="n">
        <f aca="false">Portfolio!D17*Wording_Scores!$E$104*Benefit_b!$E$106*$B$4</f>
        <v>2686.69787296193</v>
      </c>
      <c r="E43" s="1" t="n">
        <f aca="false">Portfolio!E17*Wording_Scores!$E$104*Benefit_b!$E$106*$B$4</f>
        <v>2911.44132047803</v>
      </c>
      <c r="F43" s="1" t="n">
        <f aca="false">Portfolio!F17*Wording_Scores!$E$104*Benefit_b!$E$106*$B$4</f>
        <v>3083.0424744327</v>
      </c>
      <c r="G43" s="1" t="n">
        <f aca="false">Portfolio!G17*Wording_Scores!$E$104*Benefit_b!$E$106*$B$4</f>
        <v>3115.69492824954</v>
      </c>
      <c r="H43" s="1" t="n">
        <f aca="false">Portfolio!H17*Wording_Scores!$E$104*Benefit_b!$E$106*$B$4</f>
        <v>2931.67296510812</v>
      </c>
    </row>
    <row r="44" customFormat="false" ht="15" hidden="false" customHeight="true" outlineLevel="0" collapsed="false">
      <c r="A44" s="1" t="s">
        <v>266</v>
      </c>
      <c r="B44" s="1" t="s">
        <v>465</v>
      </c>
      <c r="C44" s="1" t="s">
        <v>688</v>
      </c>
      <c r="D44" s="1" t="n">
        <f aca="false">Portfolio!D18*Wording_Scores!$E$107*Benefit_b!$E$109*$B$4</f>
        <v>29.207971230625</v>
      </c>
      <c r="E44" s="1" t="n">
        <f aca="false">Portfolio!E18*Wording_Scores!$E$107*Benefit_b!$E$109*$B$4</f>
        <v>33.3790397377678</v>
      </c>
      <c r="F44" s="1" t="n">
        <f aca="false">Portfolio!F18*Wording_Scores!$E$107*Benefit_b!$E$109*$B$4</f>
        <v>36.6281449935591</v>
      </c>
      <c r="G44" s="1" t="n">
        <f aca="false">Portfolio!G18*Wording_Scores!$E$107*Benefit_b!$E$109*$B$4</f>
        <v>37.6204949901902</v>
      </c>
      <c r="H44" s="1" t="n">
        <f aca="false">Portfolio!H18*Wording_Scores!$E$107*Benefit_b!$E$109*$B$4</f>
        <v>35.4873376376679</v>
      </c>
    </row>
    <row r="45" customFormat="false" ht="15" hidden="false" customHeight="true" outlineLevel="0" collapsed="false">
      <c r="A45" s="1" t="s">
        <v>266</v>
      </c>
      <c r="B45" s="1" t="s">
        <v>465</v>
      </c>
      <c r="C45" s="1" t="s">
        <v>690</v>
      </c>
      <c r="D45" s="1" t="n">
        <f aca="false">Portfolio!D20*Wording_Scores!$E$37*Benefit_b!$E$39*$B$4</f>
        <v>531.164011777377</v>
      </c>
      <c r="E45" s="1" t="n">
        <f aca="false">Portfolio!E20*Wording_Scores!$E$37*Benefit_b!$E$39*$B$4</f>
        <v>595.900370206003</v>
      </c>
      <c r="F45" s="1" t="n">
        <f aca="false">Portfolio!F20*Wording_Scores!$E$37*Benefit_b!$E$39*$B$4</f>
        <v>670.9475521969</v>
      </c>
      <c r="G45" s="1" t="n">
        <f aca="false">Portfolio!G20*Wording_Scores!$E$37*Benefit_b!$E$39*$B$4</f>
        <v>757.947804628222</v>
      </c>
      <c r="H45" s="1" t="n">
        <f aca="false">Portfolio!H20*Wording_Scores!$E$37*Benefit_b!$E$39*$B$4</f>
        <v>608.190017169293</v>
      </c>
    </row>
    <row r="46" customFormat="false" ht="15" hidden="false" customHeight="true" outlineLevel="0" collapsed="false">
      <c r="A46" s="1" t="s">
        <v>266</v>
      </c>
      <c r="B46" s="1" t="s">
        <v>465</v>
      </c>
      <c r="C46" s="1" t="s">
        <v>692</v>
      </c>
      <c r="D46" s="1" t="n">
        <f aca="false">Portfolio!D22*Wording_Scores!$E$51*Benefit_b!$E$53*$B$4</f>
        <v>1117.20498885757</v>
      </c>
      <c r="E46" s="1" t="n">
        <f aca="false">Portfolio!E22*Wording_Scores!$E$51*Benefit_b!$E$53*$B$4</f>
        <v>1207.58415097282</v>
      </c>
      <c r="F46" s="1" t="n">
        <f aca="false">Portfolio!F22*Wording_Scores!$E$51*Benefit_b!$E$53*$B$4</f>
        <v>1312.35837046999</v>
      </c>
      <c r="G46" s="1" t="n">
        <f aca="false">Portfolio!G22*Wording_Scores!$E$51*Benefit_b!$E$53*$B$4</f>
        <v>1433.82040678808</v>
      </c>
      <c r="H46" s="1" t="n">
        <f aca="false">Portfolio!H22*Wording_Scores!$E$51*Benefit_b!$E$53*$B$4</f>
        <v>1150.52151678157</v>
      </c>
    </row>
    <row r="47" customFormat="false" ht="15" hidden="false" customHeight="true" outlineLevel="0" collapsed="false">
      <c r="A47" s="1" t="s">
        <v>266</v>
      </c>
      <c r="B47" s="1" t="s">
        <v>465</v>
      </c>
      <c r="C47" s="1" t="s">
        <v>550</v>
      </c>
      <c r="D47" s="1" t="n">
        <f aca="false">Portfolio!D24*Wording_Scores!$E$86*Benefit_b!$E$88*$B$4</f>
        <v>184.603918321372</v>
      </c>
      <c r="E47" s="1" t="n">
        <f aca="false">Portfolio!E24*Wording_Scores!$E$86*Benefit_b!$E$88*$B$4</f>
        <v>168.39396914252</v>
      </c>
      <c r="F47" s="1" t="n">
        <f aca="false">Portfolio!F24*Wording_Scores!$E$86*Benefit_b!$E$88*$B$4</f>
        <v>149.602195313757</v>
      </c>
      <c r="G47" s="1" t="n">
        <f aca="false">Portfolio!G24*Wording_Scores!$E$86*Benefit_b!$E$88*$B$4</f>
        <v>127.817379103963</v>
      </c>
      <c r="H47" s="1" t="n">
        <f aca="false">Portfolio!H24*Wording_Scores!$E$86*Benefit_b!$E$88*$B$4</f>
        <v>102.562806458558</v>
      </c>
    </row>
    <row r="48" customFormat="false" ht="15" hidden="false" customHeight="true" outlineLevel="0" collapsed="false">
      <c r="A48" s="1" t="s">
        <v>266</v>
      </c>
      <c r="B48" s="1" t="s">
        <v>465</v>
      </c>
      <c r="C48" s="1" t="s">
        <v>695</v>
      </c>
      <c r="D48" s="1" t="n">
        <f aca="false">Portfolio!D26*Wording_Scores!$E$137*Benefit_b!$E$139*$B$4</f>
        <v>34.5935594714513</v>
      </c>
      <c r="E48" s="1" t="n">
        <f aca="false">Portfolio!E26*Wording_Scores!$E$137*Benefit_b!$E$139*$B$4</f>
        <v>31.5559216680565</v>
      </c>
      <c r="F48" s="1" t="n">
        <f aca="false">Portfolio!F26*Wording_Scores!$E$137*Benefit_b!$E$139*$B$4</f>
        <v>28.0344669154673</v>
      </c>
      <c r="G48" s="1" t="n">
        <f aca="false">Portfolio!G26*Wording_Scores!$E$137*Benefit_b!$E$139*$B$4</f>
        <v>23.9521357169702</v>
      </c>
      <c r="H48" s="1" t="n">
        <f aca="false">Portfolio!H26*Wording_Scores!$E$137*Benefit_b!$E$139*$B$4</f>
        <v>19.2195949958464</v>
      </c>
    </row>
    <row r="49" customFormat="false" ht="15" hidden="false" customHeight="true" outlineLevel="0" collapsed="false">
      <c r="A49" s="1" t="s">
        <v>267</v>
      </c>
      <c r="B49" s="1" t="s">
        <v>463</v>
      </c>
      <c r="C49" s="1" t="s">
        <v>686</v>
      </c>
      <c r="D49" s="1" t="n">
        <f aca="false">Portfolio!D16*Wording_Scores!$F$104*Benefit_b!$F$106*$B$4</f>
        <v>9579.28115717521</v>
      </c>
      <c r="E49" s="1" t="n">
        <f aca="false">Portfolio!E16*Wording_Scores!$F$104*Benefit_b!$F$106*$B$4</f>
        <v>10673.2500379436</v>
      </c>
      <c r="F49" s="1" t="n">
        <f aca="false">Portfolio!F16*Wording_Scores!$F$104*Benefit_b!$F$106*$B$4</f>
        <v>11756.9024554889</v>
      </c>
      <c r="G49" s="1" t="n">
        <f aca="false">Portfolio!G16*Wording_Scores!$F$104*Benefit_b!$F$106*$B$4</f>
        <v>12708.5131821077</v>
      </c>
      <c r="H49" s="1" t="n">
        <f aca="false">Portfolio!H16*Wording_Scores!$F$104*Benefit_b!$F$106*$B$4</f>
        <v>13186.2400599101</v>
      </c>
    </row>
    <row r="50" customFormat="false" ht="15" hidden="false" customHeight="true" outlineLevel="0" collapsed="false">
      <c r="A50" s="1" t="s">
        <v>267</v>
      </c>
      <c r="B50" s="1" t="s">
        <v>463</v>
      </c>
      <c r="C50" s="1" t="s">
        <v>690</v>
      </c>
      <c r="D50" s="1" t="n">
        <f aca="false">Portfolio!D19*Wording_Scores!$F$37*Benefit_b!$F$39*$B$4</f>
        <v>3235.34984858424</v>
      </c>
      <c r="E50" s="1" t="n">
        <f aca="false">Portfolio!E19*Wording_Scores!$F$37*Benefit_b!$F$39*$B$4</f>
        <v>3619.58629241052</v>
      </c>
      <c r="F50" s="1" t="n">
        <f aca="false">Portfolio!F19*Wording_Scores!$F$37*Benefit_b!$F$39*$B$4</f>
        <v>4065.02164013955</v>
      </c>
      <c r="G50" s="1" t="n">
        <f aca="false">Portfolio!G19*Wording_Scores!$F$37*Benefit_b!$F$39*$B$4</f>
        <v>4581.40329053863</v>
      </c>
      <c r="H50" s="1" t="n">
        <f aca="false">Portfolio!H19*Wording_Scores!$F$37*Benefit_b!$F$39*$B$4</f>
        <v>3676.19475763093</v>
      </c>
    </row>
    <row r="51" customFormat="false" ht="15" hidden="false" customHeight="true" outlineLevel="0" collapsed="false">
      <c r="A51" s="1" t="s">
        <v>267</v>
      </c>
      <c r="B51" s="1" t="s">
        <v>463</v>
      </c>
      <c r="C51" s="1" t="s">
        <v>692</v>
      </c>
      <c r="D51" s="1" t="n">
        <f aca="false">Portfolio!D21*Wording_Scores!$F$51*Benefit_b!$F$53*$B$4</f>
        <v>587.931073962692</v>
      </c>
      <c r="E51" s="1" t="n">
        <f aca="false">Portfolio!E21*Wording_Scores!$F$51*Benefit_b!$F$53*$B$4</f>
        <v>648.042052829114</v>
      </c>
      <c r="F51" s="1" t="n">
        <f aca="false">Portfolio!F21*Wording_Scores!$F$51*Benefit_b!$F$53*$B$4</f>
        <v>717.727152209753</v>
      </c>
      <c r="G51" s="1" t="n">
        <f aca="false">Portfolio!G21*Wording_Scores!$F$51*Benefit_b!$F$53*$B$4</f>
        <v>798.511281286746</v>
      </c>
      <c r="H51" s="1" t="n">
        <f aca="false">Portfolio!H21*Wording_Scores!$F$51*Benefit_b!$F$53*$B$4</f>
        <v>640.738830444759</v>
      </c>
    </row>
    <row r="52" customFormat="false" ht="15" hidden="false" customHeight="true" outlineLevel="0" collapsed="false">
      <c r="A52" s="1" t="s">
        <v>267</v>
      </c>
      <c r="B52" s="1" t="s">
        <v>463</v>
      </c>
      <c r="C52" s="1" t="s">
        <v>550</v>
      </c>
      <c r="D52" s="1" t="n">
        <f aca="false">Portfolio!D23*Wording_Scores!$F$86*Benefit_b!$F$88*$B$4</f>
        <v>25.6400982189123</v>
      </c>
      <c r="E52" s="1" t="n">
        <f aca="false">Portfolio!E23*Wording_Scores!$F$86*Benefit_b!$F$88*$B$4</f>
        <v>23.3886579848768</v>
      </c>
      <c r="F52" s="1" t="n">
        <f aca="false">Portfolio!F23*Wording_Scores!$F$86*Benefit_b!$F$88*$B$4</f>
        <v>20.7786216917236</v>
      </c>
      <c r="G52" s="1" t="n">
        <f aca="false">Portfolio!G23*Wording_Scores!$F$86*Benefit_b!$F$88*$B$4</f>
        <v>17.752874284089</v>
      </c>
      <c r="H52" s="1" t="n">
        <f aca="false">Portfolio!H23*Wording_Scores!$F$86*Benefit_b!$F$88*$B$4</f>
        <v>14.2452037590378</v>
      </c>
    </row>
    <row r="53" customFormat="false" ht="15" hidden="false" customHeight="true" outlineLevel="0" collapsed="false">
      <c r="A53" s="1" t="s">
        <v>267</v>
      </c>
      <c r="B53" s="1" t="s">
        <v>463</v>
      </c>
      <c r="C53" s="1" t="s">
        <v>695</v>
      </c>
      <c r="D53" s="1" t="n">
        <f aca="false">Portfolio!D25*Wording_Scores!$F$137*Benefit_b!$F$139*$B$4</f>
        <v>276.74432462025</v>
      </c>
      <c r="E53" s="1" t="n">
        <f aca="false">Portfolio!E25*Wording_Scores!$F$137*Benefit_b!$F$139*$B$4</f>
        <v>252.443586702974</v>
      </c>
      <c r="F53" s="1" t="n">
        <f aca="false">Portfolio!F25*Wording_Scores!$F$137*Benefit_b!$F$139*$B$4</f>
        <v>224.272371249117</v>
      </c>
      <c r="G53" s="1" t="n">
        <f aca="false">Portfolio!G25*Wording_Scores!$F$137*Benefit_b!$F$139*$B$4</f>
        <v>191.614211531941</v>
      </c>
      <c r="H53" s="1" t="n">
        <f aca="false">Portfolio!H25*Wording_Scores!$F$137*Benefit_b!$F$139*$B$4</f>
        <v>153.754453657471</v>
      </c>
    </row>
    <row r="54" customFormat="false" ht="15" hidden="false" customHeight="true" outlineLevel="0" collapsed="false">
      <c r="A54" s="1" t="s">
        <v>267</v>
      </c>
      <c r="B54" s="1" t="s">
        <v>465</v>
      </c>
      <c r="C54" s="1" t="s">
        <v>686</v>
      </c>
      <c r="D54" s="1" t="n">
        <f aca="false">Portfolio!D17*Wording_Scores!$F$104*Benefit_b!$F$106*$B$4</f>
        <v>10746.7914918477</v>
      </c>
      <c r="E54" s="1" t="n">
        <f aca="false">Portfolio!E17*Wording_Scores!$F$104*Benefit_b!$F$106*$B$4</f>
        <v>11645.7652819121</v>
      </c>
      <c r="F54" s="1" t="n">
        <f aca="false">Portfolio!F17*Wording_Scores!$F$104*Benefit_b!$F$106*$B$4</f>
        <v>12332.1698977308</v>
      </c>
      <c r="G54" s="1" t="n">
        <f aca="false">Portfolio!G17*Wording_Scores!$F$104*Benefit_b!$F$106*$B$4</f>
        <v>12462.7797129982</v>
      </c>
      <c r="H54" s="1" t="n">
        <f aca="false">Portfolio!H17*Wording_Scores!$F$104*Benefit_b!$F$106*$B$4</f>
        <v>11726.6918604325</v>
      </c>
    </row>
    <row r="55" customFormat="false" ht="15" hidden="false" customHeight="true" outlineLevel="0" collapsed="false">
      <c r="A55" s="1" t="s">
        <v>267</v>
      </c>
      <c r="B55" s="1" t="s">
        <v>465</v>
      </c>
      <c r="C55" s="1" t="s">
        <v>688</v>
      </c>
      <c r="D55" s="1" t="n">
        <f aca="false">Portfolio!D18*Wording_Scores!$F$107*Benefit_b!$F$109*$B$4</f>
        <v>58.41594246125</v>
      </c>
      <c r="E55" s="1" t="n">
        <f aca="false">Portfolio!E18*Wording_Scores!$F$107*Benefit_b!$F$109*$B$4</f>
        <v>66.7580794755355</v>
      </c>
      <c r="F55" s="1" t="n">
        <f aca="false">Portfolio!F18*Wording_Scores!$F$107*Benefit_b!$F$109*$B$4</f>
        <v>73.2562899871182</v>
      </c>
      <c r="G55" s="1" t="n">
        <f aca="false">Portfolio!G18*Wording_Scores!$F$107*Benefit_b!$F$109*$B$4</f>
        <v>75.2409899803803</v>
      </c>
      <c r="H55" s="1" t="n">
        <f aca="false">Portfolio!H18*Wording_Scores!$F$107*Benefit_b!$F$109*$B$4</f>
        <v>70.9746752753357</v>
      </c>
    </row>
    <row r="56" customFormat="false" ht="15" hidden="false" customHeight="true" outlineLevel="0" collapsed="false">
      <c r="A56" s="1" t="s">
        <v>267</v>
      </c>
      <c r="B56" s="1" t="s">
        <v>465</v>
      </c>
      <c r="C56" s="1" t="s">
        <v>690</v>
      </c>
      <c r="D56" s="1" t="n">
        <f aca="false">Portfolio!D20*Wording_Scores!$F$37*Benefit_b!$F$39*$B$4</f>
        <v>796.746017666066</v>
      </c>
      <c r="E56" s="1" t="n">
        <f aca="false">Portfolio!E20*Wording_Scores!$F$37*Benefit_b!$F$39*$B$4</f>
        <v>893.850555309004</v>
      </c>
      <c r="F56" s="1" t="n">
        <f aca="false">Portfolio!F20*Wording_Scores!$F$37*Benefit_b!$F$39*$B$4</f>
        <v>1006.42132829535</v>
      </c>
      <c r="G56" s="1" t="n">
        <f aca="false">Portfolio!G20*Wording_Scores!$F$37*Benefit_b!$F$39*$B$4</f>
        <v>1136.92170694233</v>
      </c>
      <c r="H56" s="1" t="n">
        <f aca="false">Portfolio!H20*Wording_Scores!$F$37*Benefit_b!$F$39*$B$4</f>
        <v>912.285025753939</v>
      </c>
    </row>
    <row r="57" customFormat="false" ht="15" hidden="false" customHeight="true" outlineLevel="0" collapsed="false">
      <c r="A57" s="1" t="s">
        <v>267</v>
      </c>
      <c r="B57" s="1" t="s">
        <v>465</v>
      </c>
      <c r="C57" s="1" t="s">
        <v>692</v>
      </c>
      <c r="D57" s="1" t="n">
        <f aca="false">Portfolio!D22*Wording_Scores!$F$51*Benefit_b!$F$53*$B$4</f>
        <v>372.401662952524</v>
      </c>
      <c r="E57" s="1" t="n">
        <f aca="false">Portfolio!E22*Wording_Scores!$F$51*Benefit_b!$F$53*$B$4</f>
        <v>402.528050324275</v>
      </c>
      <c r="F57" s="1" t="n">
        <f aca="false">Portfolio!F22*Wording_Scores!$F$51*Benefit_b!$F$53*$B$4</f>
        <v>437.452790156664</v>
      </c>
      <c r="G57" s="1" t="n">
        <f aca="false">Portfolio!G22*Wording_Scores!$F$51*Benefit_b!$F$53*$B$4</f>
        <v>477.940135596025</v>
      </c>
      <c r="H57" s="1" t="n">
        <f aca="false">Portfolio!H22*Wording_Scores!$F$51*Benefit_b!$F$53*$B$4</f>
        <v>383.507172260523</v>
      </c>
    </row>
    <row r="58" customFormat="false" ht="15" hidden="false" customHeight="true" outlineLevel="0" collapsed="false">
      <c r="A58" s="1" t="s">
        <v>267</v>
      </c>
      <c r="B58" s="1" t="s">
        <v>465</v>
      </c>
      <c r="C58" s="1" t="s">
        <v>550</v>
      </c>
      <c r="D58" s="1" t="n">
        <f aca="false">Portfolio!D24*Wording_Scores!$F$86*Benefit_b!$F$88*$B$4</f>
        <v>61.5346394404573</v>
      </c>
      <c r="E58" s="1" t="n">
        <f aca="false">Portfolio!E24*Wording_Scores!$F$86*Benefit_b!$F$88*$B$4</f>
        <v>56.1313230475068</v>
      </c>
      <c r="F58" s="1" t="n">
        <f aca="false">Portfolio!F24*Wording_Scores!$F$86*Benefit_b!$F$88*$B$4</f>
        <v>49.8673984379191</v>
      </c>
      <c r="G58" s="1" t="n">
        <f aca="false">Portfolio!G24*Wording_Scores!$F$86*Benefit_b!$F$88*$B$4</f>
        <v>42.6057930346543</v>
      </c>
      <c r="H58" s="1" t="n">
        <f aca="false">Portfolio!H24*Wording_Scores!$F$86*Benefit_b!$F$88*$B$4</f>
        <v>34.1876021528526</v>
      </c>
    </row>
    <row r="59" customFormat="false" ht="15" hidden="false" customHeight="true" outlineLevel="0" collapsed="false">
      <c r="A59" s="1" t="s">
        <v>267</v>
      </c>
      <c r="B59" s="1" t="s">
        <v>465</v>
      </c>
      <c r="C59" s="1" t="s">
        <v>695</v>
      </c>
      <c r="D59" s="1" t="n">
        <f aca="false">Portfolio!D26*Wording_Scores!$F$137*Benefit_b!$F$139*$B$4</f>
        <v>172.967797357256</v>
      </c>
      <c r="E59" s="1" t="n">
        <f aca="false">Portfolio!E26*Wording_Scores!$F$137*Benefit_b!$F$139*$B$4</f>
        <v>157.779608340282</v>
      </c>
      <c r="F59" s="1" t="n">
        <f aca="false">Portfolio!F26*Wording_Scores!$F$137*Benefit_b!$F$139*$B$4</f>
        <v>140.172334577337</v>
      </c>
      <c r="G59" s="1" t="n">
        <f aca="false">Portfolio!G26*Wording_Scores!$F$137*Benefit_b!$F$139*$B$4</f>
        <v>119.760678584851</v>
      </c>
      <c r="H59" s="1" t="n">
        <f aca="false">Portfolio!H26*Wording_Scores!$F$137*Benefit_b!$F$139*$B$4</f>
        <v>96.0979749792318</v>
      </c>
    </row>
    <row r="60" customFormat="false" ht="15" hidden="false" customHeight="true" outlineLevel="0" collapsed="false">
      <c r="A60" s="1" t="s">
        <v>268</v>
      </c>
      <c r="B60" s="1" t="s">
        <v>463</v>
      </c>
      <c r="C60" s="1" t="s">
        <v>686</v>
      </c>
      <c r="D60" s="1" t="n">
        <f aca="false">Portfolio!D16*Wording_Scores!$G$104*Benefit_b!$G$106*$B$4</f>
        <v>7184.46086788141</v>
      </c>
      <c r="E60" s="1" t="n">
        <f aca="false">Portfolio!E16*Wording_Scores!$G$104*Benefit_b!$G$106*$B$4</f>
        <v>8004.93752845772</v>
      </c>
      <c r="F60" s="1" t="n">
        <f aca="false">Portfolio!F16*Wording_Scores!$G$104*Benefit_b!$G$106*$B$4</f>
        <v>8817.67684161665</v>
      </c>
      <c r="G60" s="1" t="n">
        <f aca="false">Portfolio!G16*Wording_Scores!$G$104*Benefit_b!$G$106*$B$4</f>
        <v>9531.38488658078</v>
      </c>
      <c r="H60" s="1" t="n">
        <f aca="false">Portfolio!H16*Wording_Scores!$G$104*Benefit_b!$G$106*$B$4</f>
        <v>9889.68004493258</v>
      </c>
    </row>
    <row r="61" customFormat="false" ht="15" hidden="false" customHeight="true" outlineLevel="0" collapsed="false">
      <c r="A61" s="1" t="s">
        <v>268</v>
      </c>
      <c r="B61" s="1" t="s">
        <v>463</v>
      </c>
      <c r="C61" s="1" t="s">
        <v>690</v>
      </c>
      <c r="D61" s="1" t="n">
        <f aca="false">Portfolio!D19*Wording_Scores!$G$37*Benefit_b!$G$39*$B$4</f>
        <v>5392.24974764039</v>
      </c>
      <c r="E61" s="1" t="n">
        <f aca="false">Portfolio!E19*Wording_Scores!$G$37*Benefit_b!$G$39*$B$4</f>
        <v>6032.64382068419</v>
      </c>
      <c r="F61" s="1" t="n">
        <f aca="false">Portfolio!F19*Wording_Scores!$G$37*Benefit_b!$G$39*$B$4</f>
        <v>6775.03606689925</v>
      </c>
      <c r="G61" s="1" t="n">
        <f aca="false">Portfolio!G19*Wording_Scores!$G$37*Benefit_b!$G$39*$B$4</f>
        <v>7635.67215089771</v>
      </c>
      <c r="H61" s="1" t="n">
        <f aca="false">Portfolio!H19*Wording_Scores!$G$37*Benefit_b!$G$39*$B$4</f>
        <v>6126.99126271821</v>
      </c>
    </row>
    <row r="62" customFormat="false" ht="15" hidden="false" customHeight="true" outlineLevel="0" collapsed="false">
      <c r="A62" s="1" t="s">
        <v>268</v>
      </c>
      <c r="B62" s="1" t="s">
        <v>463</v>
      </c>
      <c r="C62" s="1" t="s">
        <v>692</v>
      </c>
      <c r="D62" s="1" t="n">
        <f aca="false">Portfolio!D21*Wording_Scores!$G$51*Benefit_b!$G$53*$B$4</f>
        <v>2939.65536981346</v>
      </c>
      <c r="E62" s="1" t="n">
        <f aca="false">Portfolio!E21*Wording_Scores!$G$51*Benefit_b!$G$53*$B$4</f>
        <v>3240.21026414557</v>
      </c>
      <c r="F62" s="1" t="n">
        <f aca="false">Portfolio!F21*Wording_Scores!$G$51*Benefit_b!$G$53*$B$4</f>
        <v>3588.63576104876</v>
      </c>
      <c r="G62" s="1" t="n">
        <f aca="false">Portfolio!G21*Wording_Scores!$G$51*Benefit_b!$G$53*$B$4</f>
        <v>3992.55640643373</v>
      </c>
      <c r="H62" s="1" t="n">
        <f aca="false">Portfolio!H21*Wording_Scores!$G$51*Benefit_b!$G$53*$B$4</f>
        <v>3203.6941522238</v>
      </c>
    </row>
    <row r="63" customFormat="false" ht="15" hidden="false" customHeight="true" outlineLevel="0" collapsed="false">
      <c r="A63" s="1" t="s">
        <v>268</v>
      </c>
      <c r="B63" s="1" t="s">
        <v>463</v>
      </c>
      <c r="C63" s="1" t="s">
        <v>550</v>
      </c>
      <c r="D63" s="1" t="n">
        <f aca="false">Portfolio!D23*Wording_Scores!$G$86*Benefit_b!$G$88*$B$4</f>
        <v>128.200491094561</v>
      </c>
      <c r="E63" s="1" t="n">
        <f aca="false">Portfolio!E23*Wording_Scores!$G$86*Benefit_b!$G$88*$B$4</f>
        <v>116.943289924384</v>
      </c>
      <c r="F63" s="1" t="n">
        <f aca="false">Portfolio!F23*Wording_Scores!$G$86*Benefit_b!$G$88*$B$4</f>
        <v>103.893108458618</v>
      </c>
      <c r="G63" s="1" t="n">
        <f aca="false">Portfolio!G23*Wording_Scores!$G$86*Benefit_b!$G$88*$B$4</f>
        <v>88.7643714204451</v>
      </c>
      <c r="H63" s="1" t="n">
        <f aca="false">Portfolio!H23*Wording_Scores!$G$86*Benefit_b!$G$88*$B$4</f>
        <v>71.226018795189</v>
      </c>
    </row>
    <row r="64" customFormat="false" ht="15" hidden="false" customHeight="true" outlineLevel="0" collapsed="false">
      <c r="A64" s="1" t="s">
        <v>268</v>
      </c>
      <c r="B64" s="1" t="s">
        <v>463</v>
      </c>
      <c r="C64" s="1" t="s">
        <v>695</v>
      </c>
      <c r="D64" s="1" t="n">
        <f aca="false">Portfolio!D25*Wording_Scores!$G$137*Benefit_b!$G$139*$B$4</f>
        <v>166.04659477215</v>
      </c>
      <c r="E64" s="1" t="n">
        <f aca="false">Portfolio!E25*Wording_Scores!$G$137*Benefit_b!$G$139*$B$4</f>
        <v>151.466152021784</v>
      </c>
      <c r="F64" s="1" t="n">
        <f aca="false">Portfolio!F25*Wording_Scores!$G$137*Benefit_b!$G$139*$B$4</f>
        <v>134.56342274947</v>
      </c>
      <c r="G64" s="1" t="n">
        <f aca="false">Portfolio!G25*Wording_Scores!$G$137*Benefit_b!$G$139*$B$4</f>
        <v>114.968526919165</v>
      </c>
      <c r="H64" s="1" t="n">
        <f aca="false">Portfolio!H25*Wording_Scores!$G$137*Benefit_b!$G$139*$B$4</f>
        <v>92.2526721944826</v>
      </c>
    </row>
    <row r="65" customFormat="false" ht="15" hidden="false" customHeight="true" outlineLevel="0" collapsed="false">
      <c r="A65" s="1" t="s">
        <v>268</v>
      </c>
      <c r="B65" s="1" t="s">
        <v>465</v>
      </c>
      <c r="C65" s="1" t="s">
        <v>686</v>
      </c>
      <c r="D65" s="1" t="n">
        <f aca="false">Portfolio!D17*Wording_Scores!$G$104*Benefit_b!$G$106*$B$4</f>
        <v>8060.09361888578</v>
      </c>
      <c r="E65" s="1" t="n">
        <f aca="false">Portfolio!E17*Wording_Scores!$G$104*Benefit_b!$G$106*$B$4</f>
        <v>8734.32396143408</v>
      </c>
      <c r="F65" s="1" t="n">
        <f aca="false">Portfolio!F17*Wording_Scores!$G$104*Benefit_b!$G$106*$B$4</f>
        <v>9249.1274232981</v>
      </c>
      <c r="G65" s="1" t="n">
        <f aca="false">Portfolio!G17*Wording_Scores!$G$104*Benefit_b!$G$106*$B$4</f>
        <v>9347.08478474862</v>
      </c>
      <c r="H65" s="1" t="n">
        <f aca="false">Portfolio!H17*Wording_Scores!$G$104*Benefit_b!$G$106*$B$4</f>
        <v>8795.01889532437</v>
      </c>
    </row>
    <row r="66" customFormat="false" ht="15" hidden="false" customHeight="true" outlineLevel="0" collapsed="false">
      <c r="A66" s="1" t="s">
        <v>268</v>
      </c>
      <c r="B66" s="1" t="s">
        <v>465</v>
      </c>
      <c r="C66" s="1" t="s">
        <v>688</v>
      </c>
      <c r="D66" s="1" t="n">
        <f aca="false">Portfolio!D18*Wording_Scores!$G$107*Benefit_b!$G$109*$B$4</f>
        <v>0</v>
      </c>
      <c r="E66" s="1" t="n">
        <f aca="false">Portfolio!E18*Wording_Scores!$G$107*Benefit_b!$G$109*$B$4</f>
        <v>0</v>
      </c>
      <c r="F66" s="1" t="n">
        <f aca="false">Portfolio!F18*Wording_Scores!$G$107*Benefit_b!$G$109*$B$4</f>
        <v>0</v>
      </c>
      <c r="G66" s="1" t="n">
        <f aca="false">Portfolio!G18*Wording_Scores!$G$107*Benefit_b!$G$109*$B$4</f>
        <v>0</v>
      </c>
      <c r="H66" s="1" t="n">
        <f aca="false">Portfolio!H18*Wording_Scores!$G$107*Benefit_b!$G$109*$B$4</f>
        <v>0</v>
      </c>
    </row>
    <row r="67" customFormat="false" ht="15" hidden="false" customHeight="true" outlineLevel="0" collapsed="false">
      <c r="A67" s="1" t="s">
        <v>268</v>
      </c>
      <c r="B67" s="1" t="s">
        <v>465</v>
      </c>
      <c r="C67" s="1" t="s">
        <v>690</v>
      </c>
      <c r="D67" s="1" t="n">
        <f aca="false">Portfolio!D20*Wording_Scores!$G$37*Benefit_b!$G$39*$B$4</f>
        <v>1327.91002944344</v>
      </c>
      <c r="E67" s="1" t="n">
        <f aca="false">Portfolio!E20*Wording_Scores!$G$37*Benefit_b!$G$39*$B$4</f>
        <v>1489.75092551501</v>
      </c>
      <c r="F67" s="1" t="n">
        <f aca="false">Portfolio!F20*Wording_Scores!$G$37*Benefit_b!$G$39*$B$4</f>
        <v>1677.36888049225</v>
      </c>
      <c r="G67" s="1" t="n">
        <f aca="false">Portfolio!G20*Wording_Scores!$G$37*Benefit_b!$G$39*$B$4</f>
        <v>1894.86951157055</v>
      </c>
      <c r="H67" s="1" t="n">
        <f aca="false">Portfolio!H20*Wording_Scores!$G$37*Benefit_b!$G$39*$B$4</f>
        <v>1520.47504292323</v>
      </c>
    </row>
    <row r="68" customFormat="false" ht="15" hidden="false" customHeight="true" outlineLevel="0" collapsed="false">
      <c r="A68" s="1" t="s">
        <v>268</v>
      </c>
      <c r="B68" s="1" t="s">
        <v>465</v>
      </c>
      <c r="C68" s="1" t="s">
        <v>692</v>
      </c>
      <c r="D68" s="1" t="n">
        <f aca="false">Portfolio!D22*Wording_Scores!$G$51*Benefit_b!$G$53*$B$4</f>
        <v>1862.00831476262</v>
      </c>
      <c r="E68" s="1" t="n">
        <f aca="false">Portfolio!E22*Wording_Scores!$G$51*Benefit_b!$G$53*$B$4</f>
        <v>2012.64025162137</v>
      </c>
      <c r="F68" s="1" t="n">
        <f aca="false">Portfolio!F22*Wording_Scores!$G$51*Benefit_b!$G$53*$B$4</f>
        <v>2187.26395078332</v>
      </c>
      <c r="G68" s="1" t="n">
        <f aca="false">Portfolio!G22*Wording_Scores!$G$51*Benefit_b!$G$53*$B$4</f>
        <v>2389.70067798013</v>
      </c>
      <c r="H68" s="1" t="n">
        <f aca="false">Portfolio!H22*Wording_Scores!$G$51*Benefit_b!$G$53*$B$4</f>
        <v>1917.53586130261</v>
      </c>
    </row>
    <row r="69" customFormat="false" ht="15" hidden="false" customHeight="true" outlineLevel="0" collapsed="false">
      <c r="A69" s="1" t="s">
        <v>268</v>
      </c>
      <c r="B69" s="1" t="s">
        <v>465</v>
      </c>
      <c r="C69" s="1" t="s">
        <v>550</v>
      </c>
      <c r="D69" s="1" t="n">
        <f aca="false">Portfolio!D24*Wording_Scores!$G$86*Benefit_b!$G$88*$B$4</f>
        <v>307.673197202287</v>
      </c>
      <c r="E69" s="1" t="n">
        <f aca="false">Portfolio!E24*Wording_Scores!$G$86*Benefit_b!$G$88*$B$4</f>
        <v>280.656615237534</v>
      </c>
      <c r="F69" s="1" t="n">
        <f aca="false">Portfolio!F24*Wording_Scores!$G$86*Benefit_b!$G$88*$B$4</f>
        <v>249.336992189595</v>
      </c>
      <c r="G69" s="1" t="n">
        <f aca="false">Portfolio!G24*Wording_Scores!$G$86*Benefit_b!$G$88*$B$4</f>
        <v>213.028965173271</v>
      </c>
      <c r="H69" s="1" t="n">
        <f aca="false">Portfolio!H24*Wording_Scores!$G$86*Benefit_b!$G$88*$B$4</f>
        <v>170.938010764263</v>
      </c>
    </row>
    <row r="70" customFormat="false" ht="15" hidden="false" customHeight="true" outlineLevel="0" collapsed="false">
      <c r="A70" s="1" t="s">
        <v>268</v>
      </c>
      <c r="B70" s="1" t="s">
        <v>465</v>
      </c>
      <c r="C70" s="1" t="s">
        <v>695</v>
      </c>
      <c r="D70" s="1" t="n">
        <f aca="false">Portfolio!D26*Wording_Scores!$G$137*Benefit_b!$G$139*$B$4</f>
        <v>103.780678414354</v>
      </c>
      <c r="E70" s="1" t="n">
        <f aca="false">Portfolio!E26*Wording_Scores!$G$137*Benefit_b!$G$139*$B$4</f>
        <v>94.6677650041695</v>
      </c>
      <c r="F70" s="1" t="n">
        <f aca="false">Portfolio!F26*Wording_Scores!$G$137*Benefit_b!$G$139*$B$4</f>
        <v>84.1034007464019</v>
      </c>
      <c r="G70" s="1" t="n">
        <f aca="false">Portfolio!G26*Wording_Scores!$G$137*Benefit_b!$G$139*$B$4</f>
        <v>71.8564071509105</v>
      </c>
      <c r="H70" s="1" t="n">
        <f aca="false">Portfolio!H26*Wording_Scores!$G$137*Benefit_b!$G$139*$B$4</f>
        <v>57.658784987539</v>
      </c>
    </row>
    <row r="73" customFormat="false" ht="15" hidden="false" customHeight="true" outlineLevel="0" collapsed="false">
      <c r="A73" s="1" t="s">
        <v>673</v>
      </c>
      <c r="B73" s="1" t="s">
        <v>454</v>
      </c>
      <c r="D73" s="1" t="s">
        <v>703</v>
      </c>
      <c r="E73" s="1" t="s">
        <v>704</v>
      </c>
      <c r="F73" s="1" t="s">
        <v>705</v>
      </c>
      <c r="G73" s="1" t="s">
        <v>706</v>
      </c>
      <c r="H73" s="1" t="s">
        <v>707</v>
      </c>
      <c r="I73" s="1" t="s">
        <v>678</v>
      </c>
    </row>
    <row r="74" customFormat="false" ht="15" hidden="false" customHeight="true" outlineLevel="0" collapsed="false">
      <c r="A74" s="1" t="s">
        <v>264</v>
      </c>
      <c r="B74" s="1" t="s">
        <v>463</v>
      </c>
      <c r="D74" s="1" t="n">
        <f aca="false">SUM(D16:D20)-Portfolio!D31</f>
        <v>0</v>
      </c>
      <c r="E74" s="1" t="n">
        <f aca="false">SUM(E16:E20)-Portfolio!E31</f>
        <v>0</v>
      </c>
      <c r="F74" s="1" t="n">
        <f aca="false">SUM(F16:F20)-Portfolio!F31</f>
        <v>0</v>
      </c>
      <c r="G74" s="1" t="n">
        <f aca="false">SUM(G16:G20)-Portfolio!G31</f>
        <v>0</v>
      </c>
      <c r="H74" s="1" t="n">
        <f aca="false">SUM(H16:H20)-Portfolio!H31</f>
        <v>0</v>
      </c>
      <c r="I74" s="1" t="str">
        <f aca="false">IF(SUMPRODUCT(--(ABS(D74:H74)&gt;0.005))=0,"OK","CHECK")</f>
        <v>OK</v>
      </c>
    </row>
    <row r="75" customFormat="false" ht="15" hidden="false" customHeight="true" outlineLevel="0" collapsed="false">
      <c r="A75" s="1" t="s">
        <v>264</v>
      </c>
      <c r="B75" s="1" t="s">
        <v>465</v>
      </c>
      <c r="D75" s="1" t="n">
        <f aca="false">SUM(D21:D26)-Portfolio!D38</f>
        <v>0</v>
      </c>
      <c r="E75" s="1" t="n">
        <f aca="false">SUM(E21:E26)-Portfolio!E38</f>
        <v>0</v>
      </c>
      <c r="F75" s="1" t="n">
        <f aca="false">SUM(F21:F26)-Portfolio!F38</f>
        <v>0</v>
      </c>
      <c r="G75" s="1" t="n">
        <f aca="false">SUM(G21:G26)-Portfolio!G38</f>
        <v>0</v>
      </c>
      <c r="H75" s="1" t="n">
        <f aca="false">SUM(H21:H26)-Portfolio!H38</f>
        <v>0</v>
      </c>
      <c r="I75" s="1" t="str">
        <f aca="false">IF(SUMPRODUCT(--(ABS(D75:H75)&gt;0.005))=0,"OK","CHECK")</f>
        <v>OK</v>
      </c>
    </row>
    <row r="76" customFormat="false" ht="15" hidden="false" customHeight="true" outlineLevel="0" collapsed="false">
      <c r="A76" s="1" t="s">
        <v>265</v>
      </c>
      <c r="B76" s="1" t="s">
        <v>463</v>
      </c>
      <c r="D76" s="1" t="n">
        <f aca="false">SUM(D27:D31)-Portfolio!D32</f>
        <v>0</v>
      </c>
      <c r="E76" s="1" t="n">
        <f aca="false">SUM(E27:E31)-Portfolio!E32</f>
        <v>0</v>
      </c>
      <c r="F76" s="1" t="n">
        <f aca="false">SUM(F27:F31)-Portfolio!F32</f>
        <v>0</v>
      </c>
      <c r="G76" s="1" t="n">
        <f aca="false">SUM(G27:G31)-Portfolio!G32</f>
        <v>0</v>
      </c>
      <c r="H76" s="1" t="n">
        <f aca="false">SUM(H27:H31)-Portfolio!H32</f>
        <v>0</v>
      </c>
      <c r="I76" s="1" t="str">
        <f aca="false">IF(SUMPRODUCT(--(ABS(D76:H76)&gt;0.005))=0,"OK","CHECK")</f>
        <v>OK</v>
      </c>
    </row>
    <row r="77" customFormat="false" ht="15" hidden="false" customHeight="true" outlineLevel="0" collapsed="false">
      <c r="A77" s="1" t="s">
        <v>265</v>
      </c>
      <c r="B77" s="1" t="s">
        <v>465</v>
      </c>
      <c r="D77" s="1" t="n">
        <f aca="false">SUM(D32:D37)-Portfolio!D39</f>
        <v>0</v>
      </c>
      <c r="E77" s="1" t="n">
        <f aca="false">SUM(E32:E37)-Portfolio!E39</f>
        <v>0</v>
      </c>
      <c r="F77" s="1" t="n">
        <f aca="false">SUM(F32:F37)-Portfolio!F39</f>
        <v>0</v>
      </c>
      <c r="G77" s="1" t="n">
        <f aca="false">SUM(G32:G37)-Portfolio!G39</f>
        <v>0</v>
      </c>
      <c r="H77" s="1" t="n">
        <f aca="false">SUM(H32:H37)-Portfolio!H39</f>
        <v>0</v>
      </c>
      <c r="I77" s="1" t="str">
        <f aca="false">IF(SUMPRODUCT(--(ABS(D77:H77)&gt;0.005))=0,"OK","CHECK")</f>
        <v>OK</v>
      </c>
    </row>
    <row r="78" customFormat="false" ht="15" hidden="false" customHeight="true" outlineLevel="0" collapsed="false">
      <c r="A78" s="1" t="s">
        <v>266</v>
      </c>
      <c r="B78" s="1" t="s">
        <v>463</v>
      </c>
      <c r="D78" s="1" t="n">
        <f aca="false">SUM(D38:D42)-Portfolio!D33</f>
        <v>0</v>
      </c>
      <c r="E78" s="1" t="n">
        <f aca="false">SUM(E38:E42)-Portfolio!E33</f>
        <v>0</v>
      </c>
      <c r="F78" s="1" t="n">
        <f aca="false">SUM(F38:F42)-Portfolio!F33</f>
        <v>0</v>
      </c>
      <c r="G78" s="1" t="n">
        <f aca="false">SUM(G38:G42)-Portfolio!G33</f>
        <v>0</v>
      </c>
      <c r="H78" s="1" t="n">
        <f aca="false">SUM(H38:H42)-Portfolio!H33</f>
        <v>0</v>
      </c>
      <c r="I78" s="1" t="str">
        <f aca="false">IF(SUMPRODUCT(--(ABS(D78:H78)&gt;0.005))=0,"OK","CHECK")</f>
        <v>OK</v>
      </c>
    </row>
    <row r="79" customFormat="false" ht="15" hidden="false" customHeight="true" outlineLevel="0" collapsed="false">
      <c r="A79" s="1" t="s">
        <v>266</v>
      </c>
      <c r="B79" s="1" t="s">
        <v>465</v>
      </c>
      <c r="D79" s="1" t="n">
        <f aca="false">SUM(D43:D48)-Portfolio!D40</f>
        <v>0</v>
      </c>
      <c r="E79" s="1" t="n">
        <f aca="false">SUM(E43:E48)-Portfolio!E40</f>
        <v>0</v>
      </c>
      <c r="F79" s="1" t="n">
        <f aca="false">SUM(F43:F48)-Portfolio!F40</f>
        <v>0</v>
      </c>
      <c r="G79" s="1" t="n">
        <f aca="false">SUM(G43:G48)-Portfolio!G40</f>
        <v>0</v>
      </c>
      <c r="H79" s="1" t="n">
        <f aca="false">SUM(H43:H48)-Portfolio!H40</f>
        <v>0</v>
      </c>
      <c r="I79" s="1" t="str">
        <f aca="false">IF(SUMPRODUCT(--(ABS(D79:H79)&gt;0.005))=0,"OK","CHECK")</f>
        <v>OK</v>
      </c>
    </row>
    <row r="80" customFormat="false" ht="15" hidden="false" customHeight="true" outlineLevel="0" collapsed="false">
      <c r="A80" s="1" t="s">
        <v>267</v>
      </c>
      <c r="B80" s="1" t="s">
        <v>463</v>
      </c>
      <c r="D80" s="1" t="n">
        <f aca="false">SUM(D49:D53)-Portfolio!D34</f>
        <v>0</v>
      </c>
      <c r="E80" s="1" t="n">
        <f aca="false">SUM(E49:E53)-Portfolio!E34</f>
        <v>0</v>
      </c>
      <c r="F80" s="1" t="n">
        <f aca="false">SUM(F49:F53)-Portfolio!F34</f>
        <v>0</v>
      </c>
      <c r="G80" s="1" t="n">
        <f aca="false">SUM(G49:G53)-Portfolio!G34</f>
        <v>0</v>
      </c>
      <c r="H80" s="1" t="n">
        <f aca="false">SUM(H49:H53)-Portfolio!H34</f>
        <v>0</v>
      </c>
      <c r="I80" s="1" t="str">
        <f aca="false">IF(SUMPRODUCT(--(ABS(D80:H80)&gt;0.005))=0,"OK","CHECK")</f>
        <v>OK</v>
      </c>
    </row>
    <row r="81" customFormat="false" ht="15" hidden="false" customHeight="true" outlineLevel="0" collapsed="false">
      <c r="A81" s="1" t="s">
        <v>267</v>
      </c>
      <c r="B81" s="1" t="s">
        <v>465</v>
      </c>
      <c r="D81" s="1" t="n">
        <f aca="false">SUM(D54:D59)-Portfolio!D41</f>
        <v>0</v>
      </c>
      <c r="E81" s="1" t="n">
        <f aca="false">SUM(E54:E59)-Portfolio!E41</f>
        <v>0</v>
      </c>
      <c r="F81" s="1" t="n">
        <f aca="false">SUM(F54:F59)-Portfolio!F41</f>
        <v>0</v>
      </c>
      <c r="G81" s="1" t="n">
        <f aca="false">SUM(G54:G59)-Portfolio!G41</f>
        <v>0</v>
      </c>
      <c r="H81" s="1" t="n">
        <f aca="false">SUM(H54:H59)-Portfolio!H41</f>
        <v>0</v>
      </c>
      <c r="I81" s="1" t="str">
        <f aca="false">IF(SUMPRODUCT(--(ABS(D81:H81)&gt;0.005))=0,"OK","CHECK")</f>
        <v>OK</v>
      </c>
    </row>
    <row r="82" customFormat="false" ht="15" hidden="false" customHeight="true" outlineLevel="0" collapsed="false">
      <c r="A82" s="1" t="s">
        <v>268</v>
      </c>
      <c r="B82" s="1" t="s">
        <v>463</v>
      </c>
      <c r="D82" s="1" t="n">
        <f aca="false">SUM(D60:D64)-Portfolio!D35</f>
        <v>0</v>
      </c>
      <c r="E82" s="1" t="n">
        <f aca="false">SUM(E60:E64)-Portfolio!E35</f>
        <v>0</v>
      </c>
      <c r="F82" s="1" t="n">
        <f aca="false">SUM(F60:F64)-Portfolio!F35</f>
        <v>0</v>
      </c>
      <c r="G82" s="1" t="n">
        <f aca="false">SUM(G60:G64)-Portfolio!G35</f>
        <v>0</v>
      </c>
      <c r="H82" s="1" t="n">
        <f aca="false">SUM(H60:H64)-Portfolio!H35</f>
        <v>0</v>
      </c>
      <c r="I82" s="1" t="str">
        <f aca="false">IF(SUMPRODUCT(--(ABS(D82:H82)&gt;0.005))=0,"OK","CHECK")</f>
        <v>OK</v>
      </c>
    </row>
    <row r="83" customFormat="false" ht="15" hidden="false" customHeight="true" outlineLevel="0" collapsed="false">
      <c r="A83" s="1" t="s">
        <v>268</v>
      </c>
      <c r="B83" s="1" t="s">
        <v>465</v>
      </c>
      <c r="D83" s="1" t="n">
        <f aca="false">SUM(D65:D70)-Portfolio!D42</f>
        <v>0</v>
      </c>
      <c r="E83" s="1" t="n">
        <f aca="false">SUM(E65:E70)-Portfolio!E42</f>
        <v>0</v>
      </c>
      <c r="F83" s="1" t="n">
        <f aca="false">SUM(F65:F70)-Portfolio!F42</f>
        <v>0</v>
      </c>
      <c r="G83" s="1" t="n">
        <f aca="false">SUM(G65:G70)-Portfolio!G42</f>
        <v>0</v>
      </c>
      <c r="H83" s="1" t="n">
        <f aca="false">SUM(H65:H70)-Portfolio!H42</f>
        <v>0</v>
      </c>
      <c r="I83" s="1" t="str">
        <f aca="false">IF(SUMPRODUCT(--(ABS(D83:H83)&gt;0.005))=0,"OK","CHECK")</f>
        <v>OK</v>
      </c>
    </row>
    <row r="85" customFormat="false" ht="15" hidden="false" customHeight="true" outlineLevel="0" collapsed="false">
      <c r="A85" s="1" t="s">
        <v>708</v>
      </c>
      <c r="B85" s="1" t="str">
        <f aca="false">IF(COUNTIF(I74:I83,"CHECK")=0,"ALL TIE-OUTS PASS","CHECK")</f>
        <v>ALL TIE-OUTS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709</v>
      </c>
    </row>
    <row r="2" customFormat="false" ht="15" hidden="false" customHeight="true" outlineLevel="0" collapsed="false">
      <c r="A2" s="1" t="s">
        <v>710</v>
      </c>
    </row>
    <row r="4" customFormat="false" ht="15" hidden="false" customHeight="true" outlineLevel="0" collapsed="false">
      <c r="A4" s="1" t="s">
        <v>711</v>
      </c>
      <c r="B4" s="1" t="s">
        <v>712</v>
      </c>
      <c r="C4" s="1" t="s">
        <v>713</v>
      </c>
      <c r="D4" s="1" t="s">
        <v>714</v>
      </c>
      <c r="E4" s="1" t="s">
        <v>715</v>
      </c>
      <c r="F4" s="1" t="s">
        <v>716</v>
      </c>
      <c r="G4" s="1" t="s">
        <v>717</v>
      </c>
      <c r="H4" s="1" t="s">
        <v>718</v>
      </c>
      <c r="I4" s="1" t="s">
        <v>719</v>
      </c>
      <c r="J4" s="1" t="s">
        <v>9</v>
      </c>
      <c r="K4" s="1" t="s">
        <v>720</v>
      </c>
    </row>
    <row r="5" customFormat="false" ht="15" hidden="false" customHeight="true" outlineLevel="0" collapsed="false">
      <c r="A5" s="1" t="s">
        <v>721</v>
      </c>
      <c r="B5" s="1" t="s">
        <v>722</v>
      </c>
      <c r="C5" s="1" t="s">
        <v>723</v>
      </c>
      <c r="D5" s="1" t="s">
        <v>724</v>
      </c>
      <c r="E5" s="1" t="s">
        <v>725</v>
      </c>
      <c r="F5" s="1" t="s">
        <v>726</v>
      </c>
      <c r="G5" s="1" t="s">
        <v>727</v>
      </c>
      <c r="H5" s="1" t="s">
        <v>728</v>
      </c>
      <c r="I5" s="1" t="s">
        <v>729</v>
      </c>
      <c r="J5" s="1" t="s">
        <v>730</v>
      </c>
      <c r="K5" s="1" t="s">
        <v>731</v>
      </c>
    </row>
    <row r="6" customFormat="false" ht="15" hidden="false" customHeight="true" outlineLevel="0" collapsed="false">
      <c r="A6" s="1" t="s">
        <v>732</v>
      </c>
      <c r="B6" s="1" t="s">
        <v>722</v>
      </c>
      <c r="C6" s="1" t="s">
        <v>723</v>
      </c>
      <c r="D6" s="1" t="s">
        <v>724</v>
      </c>
      <c r="E6" s="1" t="s">
        <v>725</v>
      </c>
      <c r="F6" s="1" t="s">
        <v>726</v>
      </c>
      <c r="G6" s="1" t="s">
        <v>733</v>
      </c>
      <c r="H6" s="1" t="s">
        <v>728</v>
      </c>
      <c r="I6" s="1" t="s">
        <v>729</v>
      </c>
      <c r="J6" s="1" t="s">
        <v>730</v>
      </c>
      <c r="K6" s="1" t="s">
        <v>731</v>
      </c>
    </row>
    <row r="7" customFormat="false" ht="15" hidden="false" customHeight="true" outlineLevel="0" collapsed="false">
      <c r="A7" s="1" t="s">
        <v>734</v>
      </c>
      <c r="B7" s="1" t="s">
        <v>722</v>
      </c>
      <c r="C7" s="1" t="s">
        <v>723</v>
      </c>
      <c r="D7" s="1" t="s">
        <v>724</v>
      </c>
      <c r="E7" s="1" t="s">
        <v>725</v>
      </c>
      <c r="F7" s="1" t="s">
        <v>726</v>
      </c>
      <c r="G7" s="1" t="s">
        <v>735</v>
      </c>
      <c r="H7" s="1" t="s">
        <v>736</v>
      </c>
      <c r="I7" s="1" t="s">
        <v>729</v>
      </c>
      <c r="J7" s="1" t="s">
        <v>730</v>
      </c>
      <c r="K7" s="1" t="s">
        <v>731</v>
      </c>
    </row>
    <row r="8" customFormat="false" ht="15" hidden="false" customHeight="true" outlineLevel="0" collapsed="false">
      <c r="A8" s="1" t="s">
        <v>737</v>
      </c>
      <c r="B8" s="1" t="s">
        <v>722</v>
      </c>
      <c r="C8" s="1" t="s">
        <v>723</v>
      </c>
      <c r="D8" s="1" t="s">
        <v>724</v>
      </c>
      <c r="E8" s="1" t="s">
        <v>725</v>
      </c>
      <c r="F8" s="1" t="s">
        <v>736</v>
      </c>
      <c r="G8" s="1" t="s">
        <v>738</v>
      </c>
      <c r="H8" s="1" t="s">
        <v>728</v>
      </c>
      <c r="I8" s="1" t="s">
        <v>729</v>
      </c>
      <c r="J8" s="1" t="s">
        <v>730</v>
      </c>
      <c r="K8" s="1" t="s">
        <v>731</v>
      </c>
    </row>
    <row r="9" customFormat="false" ht="15" hidden="false" customHeight="true" outlineLevel="0" collapsed="false">
      <c r="A9" s="1" t="s">
        <v>739</v>
      </c>
      <c r="B9" s="1" t="s">
        <v>722</v>
      </c>
      <c r="C9" s="1" t="s">
        <v>723</v>
      </c>
      <c r="D9" s="1" t="s">
        <v>724</v>
      </c>
      <c r="E9" s="1" t="s">
        <v>725</v>
      </c>
      <c r="F9" s="1" t="s">
        <v>726</v>
      </c>
      <c r="G9" s="1" t="s">
        <v>740</v>
      </c>
      <c r="H9" s="1" t="s">
        <v>728</v>
      </c>
      <c r="I9" s="1" t="s">
        <v>729</v>
      </c>
      <c r="J9" s="1" t="s">
        <v>730</v>
      </c>
      <c r="K9" s="1" t="s">
        <v>731</v>
      </c>
    </row>
    <row r="10" customFormat="false" ht="15" hidden="false" customHeight="true" outlineLevel="0" collapsed="false">
      <c r="A10" s="1" t="s">
        <v>741</v>
      </c>
      <c r="B10" s="1" t="s">
        <v>742</v>
      </c>
      <c r="C10" s="1" t="s">
        <v>264</v>
      </c>
      <c r="D10" s="1" t="n">
        <v>20000</v>
      </c>
      <c r="E10" s="1" t="s">
        <v>743</v>
      </c>
      <c r="F10" s="1" t="s">
        <v>744</v>
      </c>
      <c r="G10" s="1" t="s">
        <v>727</v>
      </c>
      <c r="H10" s="1" t="s">
        <v>728</v>
      </c>
      <c r="I10" s="1" t="s">
        <v>729</v>
      </c>
      <c r="J10" s="1" t="s">
        <v>730</v>
      </c>
      <c r="K10" s="1" t="s">
        <v>745</v>
      </c>
    </row>
    <row r="11" customFormat="false" ht="15" hidden="false" customHeight="true" outlineLevel="0" collapsed="false">
      <c r="A11" s="1" t="s">
        <v>746</v>
      </c>
      <c r="B11" s="1" t="s">
        <v>747</v>
      </c>
      <c r="C11" s="1" t="s">
        <v>265</v>
      </c>
      <c r="D11" s="1" t="n">
        <v>15000</v>
      </c>
      <c r="E11" s="1" t="s">
        <v>743</v>
      </c>
      <c r="F11" s="1" t="s">
        <v>748</v>
      </c>
      <c r="G11" s="1" t="s">
        <v>733</v>
      </c>
      <c r="H11" s="1" t="s">
        <v>728</v>
      </c>
      <c r="I11" s="1" t="s">
        <v>729</v>
      </c>
      <c r="J11" s="1" t="s">
        <v>730</v>
      </c>
      <c r="K11" s="1" t="s">
        <v>749</v>
      </c>
    </row>
    <row r="12" customFormat="false" ht="15" hidden="false" customHeight="true" outlineLevel="0" collapsed="false">
      <c r="A12" s="1" t="s">
        <v>750</v>
      </c>
      <c r="B12" s="1" t="s">
        <v>742</v>
      </c>
      <c r="C12" s="1" t="s">
        <v>267</v>
      </c>
      <c r="D12" s="1" t="n">
        <v>15000</v>
      </c>
      <c r="E12" s="1" t="s">
        <v>743</v>
      </c>
      <c r="F12" s="1" t="s">
        <v>736</v>
      </c>
      <c r="G12" s="1" t="s">
        <v>738</v>
      </c>
      <c r="H12" s="1" t="s">
        <v>728</v>
      </c>
      <c r="I12" s="1" t="s">
        <v>729</v>
      </c>
      <c r="J12" s="1" t="s">
        <v>730</v>
      </c>
      <c r="K12" s="1" t="s">
        <v>751</v>
      </c>
    </row>
    <row r="13" customFormat="false" ht="15" hidden="false" customHeight="true" outlineLevel="0" collapsed="false">
      <c r="A13" s="1" t="s">
        <v>752</v>
      </c>
      <c r="B13" s="1" t="s">
        <v>753</v>
      </c>
      <c r="C13" s="1" t="s">
        <v>267</v>
      </c>
      <c r="D13" s="1" t="n">
        <v>50000</v>
      </c>
      <c r="E13" s="1" t="s">
        <v>743</v>
      </c>
      <c r="F13" s="1" t="s">
        <v>736</v>
      </c>
      <c r="G13" s="1" t="s">
        <v>738</v>
      </c>
      <c r="H13" s="1" t="s">
        <v>728</v>
      </c>
      <c r="I13" s="1" t="s">
        <v>729</v>
      </c>
      <c r="J13" s="1" t="s">
        <v>730</v>
      </c>
      <c r="K13" s="1" t="s">
        <v>754</v>
      </c>
    </row>
    <row r="14" customFormat="false" ht="15" hidden="false" customHeight="true" outlineLevel="0" collapsed="false">
      <c r="A14" s="1" t="s">
        <v>755</v>
      </c>
      <c r="B14" s="1" t="s">
        <v>742</v>
      </c>
      <c r="C14" s="1" t="s">
        <v>268</v>
      </c>
      <c r="D14" s="1" t="n">
        <v>15000</v>
      </c>
      <c r="E14" s="1" t="s">
        <v>743</v>
      </c>
      <c r="F14" s="1" t="s">
        <v>728</v>
      </c>
      <c r="G14" s="1" t="s">
        <v>740</v>
      </c>
      <c r="H14" s="1" t="s">
        <v>728</v>
      </c>
      <c r="I14" s="1" t="s">
        <v>729</v>
      </c>
      <c r="J14" s="1" t="s">
        <v>756</v>
      </c>
      <c r="K14" s="1" t="s">
        <v>757</v>
      </c>
    </row>
    <row r="15" customFormat="false" ht="15" hidden="false" customHeight="true" outlineLevel="0" collapsed="false">
      <c r="A15" s="1" t="s">
        <v>758</v>
      </c>
      <c r="B15" s="1" t="s">
        <v>753</v>
      </c>
      <c r="C15" s="1" t="s">
        <v>268</v>
      </c>
      <c r="D15" s="1" t="n">
        <v>100000</v>
      </c>
      <c r="E15" s="1" t="s">
        <v>743</v>
      </c>
      <c r="F15" s="1" t="s">
        <v>728</v>
      </c>
      <c r="G15" s="1" t="s">
        <v>740</v>
      </c>
      <c r="H15" s="1" t="s">
        <v>728</v>
      </c>
      <c r="I15" s="1" t="s">
        <v>729</v>
      </c>
      <c r="J15" s="1" t="s">
        <v>756</v>
      </c>
      <c r="K15" s="1" t="s">
        <v>759</v>
      </c>
    </row>
    <row r="16" customFormat="false" ht="15" hidden="false" customHeight="true" outlineLevel="0" collapsed="false">
      <c r="A16" s="1" t="s">
        <v>760</v>
      </c>
      <c r="B16" s="1" t="s">
        <v>742</v>
      </c>
      <c r="C16" s="1" t="s">
        <v>266</v>
      </c>
      <c r="D16" s="1" t="n">
        <v>15000</v>
      </c>
      <c r="E16" s="1" t="s">
        <v>761</v>
      </c>
      <c r="F16" s="1" t="s">
        <v>736</v>
      </c>
      <c r="G16" s="1" t="s">
        <v>736</v>
      </c>
      <c r="H16" s="1" t="s">
        <v>736</v>
      </c>
      <c r="I16" s="1" t="s">
        <v>762</v>
      </c>
      <c r="J16" s="1" t="s">
        <v>730</v>
      </c>
      <c r="K16" s="1" t="s">
        <v>736</v>
      </c>
    </row>
    <row r="17" customFormat="false" ht="15" hidden="false" customHeight="true" outlineLevel="0" collapsed="false">
      <c r="A17" s="1" t="s">
        <v>763</v>
      </c>
      <c r="B17" s="1" t="s">
        <v>764</v>
      </c>
      <c r="C17" s="1" t="s">
        <v>765</v>
      </c>
      <c r="D17" s="1" t="n">
        <v>1825</v>
      </c>
      <c r="E17" s="1" t="s">
        <v>766</v>
      </c>
      <c r="F17" s="1" t="s">
        <v>767</v>
      </c>
      <c r="G17" s="1" t="s">
        <v>768</v>
      </c>
      <c r="H17" s="1" t="s">
        <v>769</v>
      </c>
      <c r="I17" s="1" t="s">
        <v>729</v>
      </c>
      <c r="J17" s="1" t="s">
        <v>770</v>
      </c>
      <c r="K17" s="1" t="s">
        <v>771</v>
      </c>
    </row>
    <row r="18" customFormat="false" ht="15" hidden="false" customHeight="true" outlineLevel="0" collapsed="false">
      <c r="A18" s="1" t="s">
        <v>772</v>
      </c>
      <c r="B18" s="1" t="s">
        <v>773</v>
      </c>
      <c r="C18" s="1" t="s">
        <v>774</v>
      </c>
      <c r="D18" s="1" t="n">
        <v>1615</v>
      </c>
      <c r="E18" s="1" t="s">
        <v>775</v>
      </c>
      <c r="F18" s="1" t="s">
        <v>776</v>
      </c>
      <c r="G18" s="1" t="s">
        <v>777</v>
      </c>
      <c r="H18" s="1" t="s">
        <v>769</v>
      </c>
      <c r="I18" s="1" t="s">
        <v>729</v>
      </c>
      <c r="J18" s="1" t="s">
        <v>770</v>
      </c>
      <c r="K18" s="1" t="s">
        <v>778</v>
      </c>
    </row>
    <row r="19" customFormat="false" ht="15" hidden="false" customHeight="true" outlineLevel="0" collapsed="false">
      <c r="A19" s="1" t="s">
        <v>779</v>
      </c>
      <c r="B19" s="1" t="s">
        <v>780</v>
      </c>
      <c r="C19" s="1" t="s">
        <v>774</v>
      </c>
      <c r="D19" s="1" t="n">
        <v>6000</v>
      </c>
      <c r="E19" s="1" t="s">
        <v>781</v>
      </c>
      <c r="F19" s="1" t="s">
        <v>782</v>
      </c>
      <c r="G19" s="1" t="s">
        <v>777</v>
      </c>
      <c r="H19" s="1" t="s">
        <v>769</v>
      </c>
      <c r="I19" s="1" t="s">
        <v>729</v>
      </c>
      <c r="J19" s="1" t="s">
        <v>770</v>
      </c>
      <c r="K19" s="1" t="s">
        <v>783</v>
      </c>
    </row>
    <row r="20" customFormat="false" ht="15" hidden="false" customHeight="true" outlineLevel="0" collapsed="false">
      <c r="A20" s="1" t="s">
        <v>784</v>
      </c>
      <c r="B20" s="1" t="s">
        <v>785</v>
      </c>
      <c r="C20" s="1" t="s">
        <v>786</v>
      </c>
      <c r="D20" s="1" t="n">
        <v>311</v>
      </c>
      <c r="E20" s="1" t="s">
        <v>787</v>
      </c>
      <c r="F20" s="1" t="s">
        <v>788</v>
      </c>
      <c r="G20" s="1" t="s">
        <v>789</v>
      </c>
      <c r="H20" s="1" t="s">
        <v>790</v>
      </c>
      <c r="I20" s="1" t="s">
        <v>729</v>
      </c>
      <c r="J20" s="1" t="s">
        <v>730</v>
      </c>
      <c r="K20" s="1" t="s">
        <v>791</v>
      </c>
    </row>
    <row r="21" customFormat="false" ht="15" hidden="false" customHeight="true" outlineLevel="0" collapsed="false">
      <c r="A21" s="1" t="s">
        <v>792</v>
      </c>
      <c r="B21" s="1" t="s">
        <v>793</v>
      </c>
      <c r="C21" s="1" t="s">
        <v>786</v>
      </c>
      <c r="D21" s="1" t="n">
        <v>202</v>
      </c>
      <c r="E21" s="1" t="s">
        <v>787</v>
      </c>
      <c r="F21" s="1" t="s">
        <v>794</v>
      </c>
      <c r="G21" s="1" t="s">
        <v>795</v>
      </c>
      <c r="H21" s="1" t="s">
        <v>796</v>
      </c>
      <c r="I21" s="1" t="s">
        <v>729</v>
      </c>
      <c r="J21" s="1" t="s">
        <v>730</v>
      </c>
      <c r="K21" s="1" t="s">
        <v>797</v>
      </c>
    </row>
    <row r="22" customFormat="false" ht="15" hidden="false" customHeight="true" outlineLevel="0" collapsed="false">
      <c r="A22" s="1" t="s">
        <v>798</v>
      </c>
      <c r="B22" s="1" t="s">
        <v>799</v>
      </c>
      <c r="C22" s="1" t="s">
        <v>800</v>
      </c>
      <c r="D22" s="1" t="n">
        <v>3590</v>
      </c>
      <c r="E22" s="1" t="s">
        <v>801</v>
      </c>
      <c r="F22" s="1" t="s">
        <v>802</v>
      </c>
      <c r="G22" s="1" t="s">
        <v>803</v>
      </c>
      <c r="H22" s="1" t="s">
        <v>769</v>
      </c>
      <c r="I22" s="1" t="s">
        <v>729</v>
      </c>
      <c r="J22" s="1" t="s">
        <v>770</v>
      </c>
      <c r="K22" s="1" t="s">
        <v>804</v>
      </c>
    </row>
    <row r="23" customFormat="false" ht="15" hidden="false" customHeight="true" outlineLevel="0" collapsed="false">
      <c r="A23" s="1" t="s">
        <v>805</v>
      </c>
      <c r="B23" s="1" t="s">
        <v>806</v>
      </c>
      <c r="C23" s="1" t="s">
        <v>807</v>
      </c>
      <c r="F23" s="1" t="s">
        <v>808</v>
      </c>
      <c r="G23" s="1" t="s">
        <v>809</v>
      </c>
      <c r="H23" s="1" t="s">
        <v>769</v>
      </c>
      <c r="I23" s="1" t="s">
        <v>729</v>
      </c>
      <c r="J23" s="1" t="s">
        <v>770</v>
      </c>
      <c r="K23" s="1" t="s">
        <v>810</v>
      </c>
    </row>
    <row r="24" customFormat="false" ht="15" hidden="false" customHeight="true" outlineLevel="0" collapsed="false">
      <c r="A24" s="1" t="s">
        <v>811</v>
      </c>
      <c r="B24" s="1" t="s">
        <v>812</v>
      </c>
      <c r="C24" s="1" t="s">
        <v>813</v>
      </c>
      <c r="F24" s="1" t="s">
        <v>814</v>
      </c>
      <c r="G24" s="1" t="s">
        <v>815</v>
      </c>
      <c r="H24" s="1" t="s">
        <v>769</v>
      </c>
      <c r="I24" s="1" t="s">
        <v>729</v>
      </c>
      <c r="J24" s="1" t="s">
        <v>770</v>
      </c>
      <c r="K24" s="1" t="s">
        <v>816</v>
      </c>
    </row>
    <row r="25" customFormat="false" ht="15" hidden="false" customHeight="true" outlineLevel="0" collapsed="false">
      <c r="A25" s="1" t="s">
        <v>817</v>
      </c>
      <c r="B25" s="1" t="s">
        <v>818</v>
      </c>
      <c r="C25" s="1" t="s">
        <v>819</v>
      </c>
      <c r="E25" s="1" t="s">
        <v>775</v>
      </c>
      <c r="F25" s="1" t="s">
        <v>820</v>
      </c>
      <c r="G25" s="1" t="s">
        <v>821</v>
      </c>
      <c r="I25" s="1" t="s">
        <v>729</v>
      </c>
      <c r="J25" s="1" t="s">
        <v>822</v>
      </c>
      <c r="K25" s="1" t="s">
        <v>823</v>
      </c>
    </row>
    <row r="26" customFormat="false" ht="15" hidden="false" customHeight="true" outlineLevel="0" collapsed="false">
      <c r="A26" s="1" t="s">
        <v>824</v>
      </c>
      <c r="B26" s="1" t="s">
        <v>825</v>
      </c>
      <c r="C26" s="1" t="s">
        <v>265</v>
      </c>
      <c r="D26" s="1" t="n">
        <v>41</v>
      </c>
      <c r="E26" s="1" t="s">
        <v>826</v>
      </c>
      <c r="F26" s="1" t="s">
        <v>827</v>
      </c>
      <c r="G26" s="1" t="s">
        <v>733</v>
      </c>
      <c r="H26" s="1" t="s">
        <v>728</v>
      </c>
      <c r="I26" s="1" t="s">
        <v>729</v>
      </c>
      <c r="J26" s="1" t="s">
        <v>730</v>
      </c>
      <c r="K26" s="1" t="s">
        <v>828</v>
      </c>
    </row>
    <row r="27" customFormat="false" ht="15" hidden="false" customHeight="true" outlineLevel="0" collapsed="false">
      <c r="A27" s="1" t="s">
        <v>829</v>
      </c>
      <c r="B27" s="1" t="s">
        <v>830</v>
      </c>
      <c r="C27" s="1" t="s">
        <v>266</v>
      </c>
      <c r="F27" s="1" t="s">
        <v>736</v>
      </c>
      <c r="G27" s="1" t="s">
        <v>831</v>
      </c>
      <c r="H27" s="1" t="s">
        <v>832</v>
      </c>
      <c r="I27" s="1" t="s">
        <v>729</v>
      </c>
      <c r="J27" s="1" t="s">
        <v>822</v>
      </c>
      <c r="K27" s="1" t="s">
        <v>833</v>
      </c>
    </row>
    <row r="28" customFormat="false" ht="15" hidden="false" customHeight="true" outlineLevel="0" collapsed="false">
      <c r="A28" s="1" t="s">
        <v>834</v>
      </c>
      <c r="B28" s="1" t="s">
        <v>835</v>
      </c>
      <c r="C28" s="1" t="s">
        <v>836</v>
      </c>
      <c r="F28" s="1" t="s">
        <v>837</v>
      </c>
      <c r="G28" s="1" t="s">
        <v>838</v>
      </c>
      <c r="H28" s="1" t="s">
        <v>769</v>
      </c>
      <c r="I28" s="1" t="s">
        <v>729</v>
      </c>
      <c r="J28" s="1" t="s">
        <v>770</v>
      </c>
      <c r="K28" s="1" t="s">
        <v>839</v>
      </c>
    </row>
    <row r="31" customFormat="false" ht="15" hidden="false" customHeight="true" outlineLevel="0" collapsed="false">
      <c r="A31" s="1" t="s">
        <v>757</v>
      </c>
    </row>
    <row r="32" customFormat="false" ht="15" hidden="false" customHeight="true" outlineLevel="0" collapsed="false">
      <c r="A32" s="1" t="s">
        <v>840</v>
      </c>
      <c r="B32" s="1" t="s">
        <v>841</v>
      </c>
      <c r="C32" s="1" t="s">
        <v>842</v>
      </c>
      <c r="D32" s="1" t="s">
        <v>536</v>
      </c>
    </row>
    <row r="33" customFormat="false" ht="15" hidden="false" customHeight="true" outlineLevel="0" collapsed="false">
      <c r="A33" s="1" t="s">
        <v>843</v>
      </c>
      <c r="B33" s="1" t="n">
        <v>11</v>
      </c>
      <c r="C33" s="1" t="str">
        <f aca="false">Wording_Ranks!H12</f>
        <v>Partial</v>
      </c>
    </row>
    <row r="34" customFormat="false" ht="15" hidden="false" customHeight="true" outlineLevel="0" collapsed="false">
      <c r="A34" s="1" t="s">
        <v>844</v>
      </c>
      <c r="B34" s="1" t="n">
        <v>81</v>
      </c>
      <c r="C34" s="1" t="str">
        <f aca="false">Wording_Ranks!H82</f>
        <v>Partial</v>
      </c>
    </row>
    <row r="35" customFormat="false" ht="15" hidden="false" customHeight="true" outlineLevel="0" collapsed="false">
      <c r="A35" s="1" t="s">
        <v>845</v>
      </c>
      <c r="B35" s="1" t="n">
        <v>98</v>
      </c>
      <c r="C35" s="1" t="str">
        <f aca="false">Wording_Ranks!H99</f>
        <v>Partial</v>
      </c>
    </row>
    <row r="36" customFormat="false" ht="15" hidden="false" customHeight="true" outlineLevel="0" collapsed="false">
      <c r="A36" s="1" t="s">
        <v>846</v>
      </c>
      <c r="B36" s="1" t="n">
        <v>107</v>
      </c>
      <c r="C36" s="1" t="str">
        <f aca="false">Wording_Ranks!H108</f>
        <v>Partial</v>
      </c>
    </row>
    <row r="37" customFormat="false" ht="15" hidden="false" customHeight="true" outlineLevel="0" collapsed="false">
      <c r="A37" s="1" t="s">
        <v>847</v>
      </c>
      <c r="B37" s="1" t="n">
        <v>106</v>
      </c>
      <c r="C37" s="1" t="str">
        <f aca="false">Wording_Ranks!H107</f>
        <v>Partial</v>
      </c>
    </row>
    <row r="38" customFormat="false" ht="15" hidden="false" customHeight="true" outlineLevel="0" collapsed="false">
      <c r="A38" s="1" t="s">
        <v>848</v>
      </c>
      <c r="B38" s="1" t="n">
        <v>105</v>
      </c>
      <c r="C38" s="1" t="str">
        <f aca="false">Wording_Ranks!H106</f>
        <v>Partial</v>
      </c>
    </row>
    <row r="39" customFormat="false" ht="15" hidden="false" customHeight="true" outlineLevel="0" collapsed="false">
      <c r="A39" s="1" t="s">
        <v>849</v>
      </c>
      <c r="B39" s="1" t="n">
        <v>104</v>
      </c>
      <c r="C39" s="1" t="str">
        <f aca="false">Wording_Ranks!H105</f>
        <v>Partial</v>
      </c>
    </row>
    <row r="40" customFormat="false" ht="15" hidden="false" customHeight="true" outlineLevel="0" collapsed="false">
      <c r="A40" s="1" t="s">
        <v>850</v>
      </c>
      <c r="B40" s="1" t="n">
        <v>102</v>
      </c>
      <c r="C40" s="1" t="str">
        <f aca="false">Wording_Ranks!H103</f>
        <v>Partial</v>
      </c>
    </row>
    <row r="41" customFormat="false" ht="15" hidden="false" customHeight="true" outlineLevel="0" collapsed="false">
      <c r="A41" s="1" t="s">
        <v>851</v>
      </c>
      <c r="B41" s="1" t="n">
        <v>100</v>
      </c>
      <c r="C41" s="1" t="str">
        <f aca="false">Wording_Ranks!H101</f>
        <v>Partial</v>
      </c>
    </row>
    <row r="42" customFormat="false" ht="15" hidden="false" customHeight="true" outlineLevel="0" collapsed="false">
      <c r="A42" s="1" t="s">
        <v>852</v>
      </c>
      <c r="B42" s="1" t="n">
        <v>97</v>
      </c>
      <c r="C42" s="1" t="str">
        <f aca="false">Wording_Ranks!H98</f>
        <v>Partial</v>
      </c>
    </row>
    <row r="43" customFormat="false" ht="15" hidden="false" customHeight="true" outlineLevel="0" collapsed="false">
      <c r="A43" s="1" t="s">
        <v>853</v>
      </c>
      <c r="B43" s="1" t="n">
        <v>96</v>
      </c>
      <c r="C43" s="1" t="str">
        <f aca="false">Wording_Ranks!H97</f>
        <v>Partial</v>
      </c>
    </row>
    <row r="44" customFormat="false" ht="15" hidden="false" customHeight="true" outlineLevel="0" collapsed="false">
      <c r="A44" s="1" t="s">
        <v>854</v>
      </c>
      <c r="B44" s="1" t="n">
        <v>95</v>
      </c>
      <c r="C44" s="1" t="str">
        <f aca="false">Wording_Ranks!H96</f>
        <v>Partial</v>
      </c>
    </row>
    <row r="45" customFormat="false" ht="15" hidden="false" customHeight="true" outlineLevel="0" collapsed="false">
      <c r="A45" s="1" t="s">
        <v>855</v>
      </c>
      <c r="B45" s="1" t="n">
        <v>94</v>
      </c>
      <c r="C45" s="1" t="str">
        <f aca="false">Wording_Ranks!H95</f>
        <v>Partial</v>
      </c>
    </row>
    <row r="46" customFormat="false" ht="15" hidden="false" customHeight="true" outlineLevel="0" collapsed="false">
      <c r="A46" s="1" t="s">
        <v>856</v>
      </c>
      <c r="B46" s="1" t="n">
        <v>92</v>
      </c>
      <c r="C46" s="1" t="str">
        <f aca="false">Wording_Ranks!H93</f>
        <v>Partial</v>
      </c>
    </row>
    <row r="47" customFormat="false" ht="15" hidden="false" customHeight="true" outlineLevel="0" collapsed="false">
      <c r="A47" s="1" t="s">
        <v>857</v>
      </c>
      <c r="B47" s="1" t="n">
        <v>91</v>
      </c>
      <c r="C47" s="1" t="str">
        <f aca="false">Wording_Ranks!H92</f>
        <v>Partial</v>
      </c>
    </row>
    <row r="48" customFormat="false" ht="15" hidden="false" customHeight="true" outlineLevel="0" collapsed="false">
      <c r="A48" s="1" t="s">
        <v>858</v>
      </c>
      <c r="B48" s="1" t="n">
        <v>88</v>
      </c>
      <c r="C48" s="1" t="str">
        <f aca="false">Wording_Ranks!H89</f>
        <v>Partial</v>
      </c>
    </row>
    <row r="49" customFormat="false" ht="15" hidden="false" customHeight="true" outlineLevel="0" collapsed="false">
      <c r="A49" s="1" t="s">
        <v>859</v>
      </c>
      <c r="B49" s="1" t="n">
        <v>15</v>
      </c>
      <c r="C49" s="1" t="str">
        <f aca="false">Wording_Ranks!H16</f>
        <v>Partial</v>
      </c>
    </row>
    <row r="50" customFormat="false" ht="15" hidden="false" customHeight="true" outlineLevel="0" collapsed="false">
      <c r="A50" s="1" t="s">
        <v>860</v>
      </c>
      <c r="B50" s="1" t="n">
        <v>36</v>
      </c>
      <c r="C50" s="1" t="str">
        <f aca="false">Wording_Ranks!H37</f>
        <v>Partial</v>
      </c>
    </row>
    <row r="51" customFormat="false" ht="15" hidden="false" customHeight="true" outlineLevel="0" collapsed="false">
      <c r="A51" s="1" t="s">
        <v>861</v>
      </c>
      <c r="B51" s="1" t="n">
        <v>32</v>
      </c>
      <c r="C51" s="1" t="str">
        <f aca="false">Wording_Ranks!H33</f>
        <v>Partial</v>
      </c>
    </row>
    <row r="52" customFormat="false" ht="15" hidden="false" customHeight="true" outlineLevel="0" collapsed="false">
      <c r="A52" s="1" t="s">
        <v>862</v>
      </c>
      <c r="B52" s="1" t="n">
        <v>33</v>
      </c>
      <c r="C52" s="1" t="str">
        <f aca="false">Wording_Ranks!H34</f>
        <v>Partial</v>
      </c>
    </row>
    <row r="53" customFormat="false" ht="15" hidden="false" customHeight="true" outlineLevel="0" collapsed="false">
      <c r="A53" s="1" t="s">
        <v>863</v>
      </c>
      <c r="B53" s="1" t="n">
        <v>16</v>
      </c>
      <c r="C53" s="1" t="str">
        <f aca="false">Wording_Ranks!H17</f>
        <v>Partial</v>
      </c>
      <c r="D53" s="1" t="s">
        <v>864</v>
      </c>
    </row>
    <row r="54" customFormat="false" ht="15" hidden="false" customHeight="true" outlineLevel="0" collapsed="false">
      <c r="A54" s="1" t="s">
        <v>865</v>
      </c>
      <c r="B54" s="1" t="n">
        <v>51</v>
      </c>
      <c r="C54" s="1" t="str">
        <f aca="false">Wording_Ranks!H52</f>
        <v>Full</v>
      </c>
    </row>
    <row r="55" customFormat="false" ht="15" hidden="false" customHeight="true" outlineLevel="0" collapsed="false">
      <c r="A55" s="1" t="s">
        <v>866</v>
      </c>
      <c r="B55" s="1" t="n">
        <v>135</v>
      </c>
      <c r="C55" s="1" t="str">
        <f aca="false">Wording_Ranks!H136</f>
        <v>Partial</v>
      </c>
    </row>
    <row r="56" customFormat="false" ht="15" hidden="false" customHeight="true" outlineLevel="0" collapsed="false">
      <c r="A56" s="1" t="s">
        <v>867</v>
      </c>
      <c r="B56" s="1" t="n">
        <v>90</v>
      </c>
      <c r="C56" s="1" t="str">
        <f aca="false">Wording_Ranks!H91</f>
        <v>Partial</v>
      </c>
      <c r="D56" s="1" t="s">
        <v>868</v>
      </c>
    </row>
    <row r="57" customFormat="false" ht="15" hidden="false" customHeight="true" outlineLevel="0" collapsed="false">
      <c r="A57" s="1" t="s">
        <v>869</v>
      </c>
      <c r="B57" s="1" t="n">
        <v>109</v>
      </c>
      <c r="C57" s="1" t="str">
        <f aca="false">Wording_Ranks!H110</f>
        <v>Partial</v>
      </c>
    </row>
    <row r="58" customFormat="false" ht="15" hidden="false" customHeight="true" outlineLevel="0" collapsed="false">
      <c r="A58" s="1" t="s">
        <v>870</v>
      </c>
      <c r="B58" s="1" t="n">
        <v>24</v>
      </c>
      <c r="C58" s="1" t="str">
        <f aca="false">Wording_Ranks!H25</f>
        <v>Partial</v>
      </c>
    </row>
    <row r="59" customFormat="false" ht="15" hidden="false" customHeight="true" outlineLevel="0" collapsed="false">
      <c r="A59" s="1" t="s">
        <v>871</v>
      </c>
      <c r="B59" s="1" t="n">
        <v>57</v>
      </c>
      <c r="C59" s="1" t="str">
        <f aca="false">Wording_Ranks!H58</f>
        <v>Partial</v>
      </c>
    </row>
    <row r="60" customFormat="false" ht="15" hidden="false" customHeight="true" outlineLevel="0" collapsed="false">
      <c r="A60" s="1" t="s">
        <v>872</v>
      </c>
      <c r="D60" s="1" t="s">
        <v>873</v>
      </c>
    </row>
    <row r="61" customFormat="false" ht="15" hidden="false" customHeight="true" outlineLevel="0" collapsed="false">
      <c r="A61" s="1" t="s">
        <v>874</v>
      </c>
      <c r="B61" s="1" t="n">
        <v>111</v>
      </c>
      <c r="C61" s="1" t="str">
        <f aca="false">Wording_Ranks!H112</f>
        <v>Partial</v>
      </c>
    </row>
    <row r="62" customFormat="false" ht="15" hidden="false" customHeight="true" outlineLevel="0" collapsed="false">
      <c r="A62" s="1" t="s">
        <v>875</v>
      </c>
      <c r="B62" s="1" t="n">
        <v>112</v>
      </c>
      <c r="C62" s="1" t="str">
        <f aca="false">Wording_Ranks!H113</f>
        <v>Partial</v>
      </c>
    </row>
    <row r="63" customFormat="false" ht="15" hidden="false" customHeight="true" outlineLevel="0" collapsed="false">
      <c r="A63" s="1" t="s">
        <v>876</v>
      </c>
      <c r="B63" s="1" t="n">
        <v>26</v>
      </c>
      <c r="C63" s="1" t="str">
        <f aca="false">Wording_Ranks!H27</f>
        <v>Full</v>
      </c>
    </row>
    <row r="64" customFormat="false" ht="15" hidden="false" customHeight="true" outlineLevel="0" collapsed="false">
      <c r="A64" s="1" t="s">
        <v>877</v>
      </c>
      <c r="B64" s="1" t="n">
        <v>27</v>
      </c>
      <c r="C64" s="1" t="str">
        <f aca="false">Wording_Ranks!H28</f>
        <v>Partial</v>
      </c>
    </row>
    <row r="65" customFormat="false" ht="15" hidden="false" customHeight="true" outlineLevel="0" collapsed="false">
      <c r="A65" s="1" t="s">
        <v>878</v>
      </c>
      <c r="B65" s="1" t="n">
        <v>85</v>
      </c>
      <c r="C65" s="1" t="str">
        <f aca="false">Wording_Ranks!H86</f>
        <v>Partial</v>
      </c>
    </row>
    <row r="66" customFormat="false" ht="15" hidden="false" customHeight="true" outlineLevel="0" collapsed="false">
      <c r="A66" s="1" t="s">
        <v>879</v>
      </c>
      <c r="B66" s="1" t="n">
        <v>7</v>
      </c>
      <c r="C66" s="1" t="str">
        <f aca="false">Wording_Ranks!H8</f>
        <v>Partial</v>
      </c>
    </row>
    <row r="67" customFormat="false" ht="15" hidden="false" customHeight="true" outlineLevel="0" collapsed="false">
      <c r="A67" s="1" t="s">
        <v>880</v>
      </c>
      <c r="B67" s="1" t="n">
        <v>134</v>
      </c>
      <c r="C67" s="1" t="str">
        <f aca="false">Wording_Ranks!H135</f>
        <v>Full</v>
      </c>
      <c r="D67" s="1" t="s">
        <v>881</v>
      </c>
    </row>
    <row r="68" customFormat="false" ht="15" hidden="false" customHeight="true" outlineLevel="0" collapsed="false">
      <c r="A68" s="1" t="s">
        <v>882</v>
      </c>
      <c r="B68" s="1" t="n">
        <v>129</v>
      </c>
      <c r="C68" s="1" t="str">
        <f aca="false">Wording_Ranks!H130</f>
        <v>Partial</v>
      </c>
    </row>
    <row r="69" customFormat="false" ht="15" hidden="false" customHeight="true" outlineLevel="0" collapsed="false">
      <c r="A69" s="1" t="s">
        <v>883</v>
      </c>
      <c r="B69" s="1" t="n">
        <v>125</v>
      </c>
      <c r="C69" s="1" t="str">
        <f aca="false">Wording_Ranks!H126</f>
        <v>Partial</v>
      </c>
    </row>
    <row r="70" customFormat="false" ht="15" hidden="false" customHeight="true" outlineLevel="0" collapsed="false">
      <c r="A70" s="1" t="s">
        <v>884</v>
      </c>
      <c r="B70" s="1" t="n">
        <v>130</v>
      </c>
      <c r="C70" s="1" t="str">
        <f aca="false">Wording_Ranks!H131</f>
        <v>Partial</v>
      </c>
    </row>
    <row r="71" customFormat="false" ht="15" hidden="false" customHeight="true" outlineLevel="0" collapsed="false">
      <c r="A71" s="1" t="s">
        <v>885</v>
      </c>
      <c r="B71" s="1" t="n">
        <v>76</v>
      </c>
      <c r="C71" s="1" t="str">
        <f aca="false">Wording_Ranks!H77</f>
        <v>Partial</v>
      </c>
    </row>
    <row r="72" customFormat="false" ht="15" hidden="false" customHeight="true" outlineLevel="0" collapsed="false">
      <c r="A72" s="1" t="s">
        <v>886</v>
      </c>
      <c r="D72" s="1" t="s">
        <v>873</v>
      </c>
    </row>
    <row r="73" customFormat="false" ht="15" hidden="false" customHeight="true" outlineLevel="0" collapsed="false">
      <c r="A73" s="1" t="s">
        <v>887</v>
      </c>
      <c r="B73" s="1" t="n">
        <v>53</v>
      </c>
      <c r="C73" s="1" t="str">
        <f aca="false">Wording_Ranks!H54</f>
        <v>Partial</v>
      </c>
    </row>
    <row r="75" customFormat="false" ht="15" hidden="false" customHeight="true" outlineLevel="0" collapsed="false">
      <c r="A75" s="1" t="s">
        <v>888</v>
      </c>
    </row>
    <row r="76" customFormat="false" ht="15" hidden="false" customHeight="true" outlineLevel="0" collapsed="false">
      <c r="A76" s="1" t="s">
        <v>889</v>
      </c>
      <c r="B76" s="1" t="n">
        <f aca="false">COUNTIF(C33:C73,"Full")</f>
        <v>3</v>
      </c>
    </row>
    <row r="77" customFormat="false" ht="15" hidden="false" customHeight="true" outlineLevel="0" collapsed="false">
      <c r="A77" s="1" t="s">
        <v>890</v>
      </c>
      <c r="B77" s="1" t="n">
        <f aca="false">COUNTIF(C33:C73,"Not covered")</f>
        <v>0</v>
      </c>
    </row>
    <row r="78" customFormat="false" ht="15" hidden="false" customHeight="true" outlineLevel="0" collapsed="false">
      <c r="A78" s="1" t="s">
        <v>891</v>
      </c>
      <c r="B78" s="1" t="n">
        <f aca="false">COUNTIF(C33:C73,"Partial")</f>
        <v>36</v>
      </c>
    </row>
    <row r="80" customFormat="false" ht="15" hidden="false" customHeight="true" outlineLevel="0" collapsed="false">
      <c r="A80" s="1" t="s">
        <v>892</v>
      </c>
      <c r="B80" s="1" t="s">
        <v>893</v>
      </c>
      <c r="C80" s="1" t="s">
        <v>265</v>
      </c>
      <c r="D80" s="1" t="n">
        <v>15000</v>
      </c>
      <c r="E80" s="1" t="s">
        <v>743</v>
      </c>
      <c r="F80" s="1" t="s">
        <v>894</v>
      </c>
      <c r="G80" s="1" t="s">
        <v>733</v>
      </c>
      <c r="H80" s="1" t="s">
        <v>769</v>
      </c>
      <c r="I80" s="1" t="s">
        <v>729</v>
      </c>
      <c r="J80" s="1" t="s">
        <v>730</v>
      </c>
      <c r="K80" s="1" t="s">
        <v>895</v>
      </c>
    </row>
    <row r="81" customFormat="false" ht="15" hidden="false" customHeight="true" outlineLevel="0" collapsed="false">
      <c r="A81" s="1" t="s">
        <v>896</v>
      </c>
      <c r="B81" s="1" t="s">
        <v>897</v>
      </c>
      <c r="C81" s="1" t="s">
        <v>898</v>
      </c>
      <c r="D81" s="1" t="n">
        <v>40000</v>
      </c>
      <c r="E81" s="1" t="s">
        <v>743</v>
      </c>
      <c r="F81" s="1" t="s">
        <v>899</v>
      </c>
      <c r="G81" s="1" t="s">
        <v>733</v>
      </c>
      <c r="H81" s="1" t="s">
        <v>769</v>
      </c>
      <c r="I81" s="1" t="s">
        <v>729</v>
      </c>
      <c r="J81" s="1" t="s">
        <v>730</v>
      </c>
      <c r="K81" s="1" t="s">
        <v>900</v>
      </c>
    </row>
    <row r="82" customFormat="false" ht="15" hidden="false" customHeight="true" outlineLevel="0" collapsed="false">
      <c r="A82" s="1" t="s">
        <v>901</v>
      </c>
      <c r="B82" s="1" t="s">
        <v>902</v>
      </c>
      <c r="C82" s="1" t="s">
        <v>903</v>
      </c>
      <c r="D82" s="1" t="n">
        <v>30000</v>
      </c>
      <c r="E82" s="1" t="s">
        <v>743</v>
      </c>
      <c r="F82" s="1" t="s">
        <v>904</v>
      </c>
      <c r="G82" s="1" t="s">
        <v>733</v>
      </c>
      <c r="H82" s="1" t="s">
        <v>769</v>
      </c>
      <c r="I82" s="1" t="s">
        <v>729</v>
      </c>
      <c r="J82" s="1" t="s">
        <v>730</v>
      </c>
      <c r="K82" s="1" t="s">
        <v>905</v>
      </c>
    </row>
    <row r="83" customFormat="false" ht="15" hidden="false" customHeight="true" outlineLevel="0" collapsed="false">
      <c r="A83" s="1" t="s">
        <v>906</v>
      </c>
      <c r="B83" s="1" t="s">
        <v>907</v>
      </c>
      <c r="C83" s="1" t="s">
        <v>908</v>
      </c>
      <c r="D83" s="1" t="n">
        <v>1145</v>
      </c>
      <c r="E83" s="1" t="s">
        <v>909</v>
      </c>
      <c r="F83" s="1" t="s">
        <v>910</v>
      </c>
      <c r="G83" s="1" t="s">
        <v>733</v>
      </c>
      <c r="H83" s="1" t="s">
        <v>910</v>
      </c>
      <c r="I83" s="1" t="s">
        <v>729</v>
      </c>
      <c r="J83" s="1" t="s">
        <v>770</v>
      </c>
      <c r="K83" s="1" t="s">
        <v>757</v>
      </c>
    </row>
    <row r="84" customFormat="false" ht="15" hidden="false" customHeight="true" outlineLevel="0" collapsed="false">
      <c r="A84" s="1" t="s">
        <v>911</v>
      </c>
      <c r="B84" s="1" t="s">
        <v>912</v>
      </c>
      <c r="C84" s="1" t="s">
        <v>836</v>
      </c>
      <c r="D84" s="1" t="n">
        <v>1862125</v>
      </c>
      <c r="E84" s="1" t="s">
        <v>913</v>
      </c>
      <c r="F84" s="1" t="s">
        <v>914</v>
      </c>
      <c r="G84" s="1" t="s">
        <v>915</v>
      </c>
      <c r="H84" s="1" t="s">
        <v>769</v>
      </c>
      <c r="I84" s="1" t="s">
        <v>916</v>
      </c>
      <c r="J84" s="1" t="s">
        <v>730</v>
      </c>
      <c r="K84" s="1" t="s">
        <v>917</v>
      </c>
    </row>
    <row r="85" customFormat="false" ht="15" hidden="false" customHeight="true" outlineLevel="0" collapsed="false">
      <c r="A85" s="1" t="s">
        <v>918</v>
      </c>
      <c r="B85" s="1" t="s">
        <v>919</v>
      </c>
      <c r="C85" s="1" t="s">
        <v>920</v>
      </c>
      <c r="F85" s="1" t="s">
        <v>921</v>
      </c>
      <c r="G85" s="1" t="s">
        <v>838</v>
      </c>
      <c r="H85" s="1" t="s">
        <v>769</v>
      </c>
      <c r="I85" s="1" t="s">
        <v>916</v>
      </c>
      <c r="J85" s="1" t="s">
        <v>730</v>
      </c>
      <c r="K85" s="1" t="s">
        <v>922</v>
      </c>
    </row>
    <row r="86" customFormat="false" ht="15" hidden="false" customHeight="true" outlineLevel="0" collapsed="false">
      <c r="A86" s="1" t="s">
        <v>923</v>
      </c>
      <c r="B86" s="1" t="s">
        <v>924</v>
      </c>
      <c r="C86" s="1" t="s">
        <v>925</v>
      </c>
      <c r="E86" s="1" t="s">
        <v>926</v>
      </c>
      <c r="F86" s="1" t="s">
        <v>927</v>
      </c>
      <c r="G86" s="1" t="s">
        <v>838</v>
      </c>
      <c r="H86" s="1" t="s">
        <v>769</v>
      </c>
      <c r="I86" s="1" t="s">
        <v>916</v>
      </c>
      <c r="J86" s="1" t="s">
        <v>730</v>
      </c>
      <c r="K86" s="1" t="s">
        <v>928</v>
      </c>
    </row>
    <row r="87" customFormat="false" ht="15" hidden="false" customHeight="true" outlineLevel="0" collapsed="false">
      <c r="A87" s="1" t="s">
        <v>929</v>
      </c>
      <c r="B87" s="1" t="s">
        <v>930</v>
      </c>
      <c r="C87" s="1" t="s">
        <v>931</v>
      </c>
      <c r="F87" s="1" t="s">
        <v>932</v>
      </c>
      <c r="G87" s="1" t="s">
        <v>933</v>
      </c>
      <c r="H87" s="1" t="s">
        <v>934</v>
      </c>
      <c r="I87" s="1" t="s">
        <v>916</v>
      </c>
      <c r="J87" s="1" t="s">
        <v>730</v>
      </c>
      <c r="K87" s="1" t="s">
        <v>935</v>
      </c>
    </row>
    <row r="88" customFormat="false" ht="15" hidden="false" customHeight="true" outlineLevel="0" collapsed="false">
      <c r="A88" s="1" t="s">
        <v>936</v>
      </c>
      <c r="B88" s="1" t="s">
        <v>937</v>
      </c>
      <c r="C88" s="1" t="s">
        <v>938</v>
      </c>
      <c r="D88" s="1" t="n">
        <v>206</v>
      </c>
      <c r="E88" s="1" t="s">
        <v>939</v>
      </c>
      <c r="F88" s="1" t="s">
        <v>940</v>
      </c>
      <c r="G88" s="1" t="s">
        <v>941</v>
      </c>
      <c r="H88" s="1" t="s">
        <v>790</v>
      </c>
      <c r="I88" s="1" t="s">
        <v>916</v>
      </c>
      <c r="J88" s="1" t="s">
        <v>730</v>
      </c>
      <c r="K88" s="1" t="s">
        <v>942</v>
      </c>
    </row>
    <row r="89" customFormat="false" ht="15" hidden="false" customHeight="true" outlineLevel="0" collapsed="false">
      <c r="A89" s="1" t="s">
        <v>943</v>
      </c>
      <c r="B89" s="1" t="s">
        <v>944</v>
      </c>
      <c r="C89" s="1" t="s">
        <v>945</v>
      </c>
      <c r="D89" s="1" t="n">
        <v>1739724</v>
      </c>
      <c r="E89" s="1" t="s">
        <v>946</v>
      </c>
      <c r="F89" s="1" t="s">
        <v>947</v>
      </c>
      <c r="G89" s="1" t="s">
        <v>948</v>
      </c>
      <c r="H89" s="1" t="s">
        <v>949</v>
      </c>
      <c r="I89" s="1" t="s">
        <v>950</v>
      </c>
      <c r="J89" s="1" t="s">
        <v>730</v>
      </c>
      <c r="K89" s="1" t="s">
        <v>951</v>
      </c>
    </row>
    <row r="90" customFormat="false" ht="15" hidden="false" customHeight="true" outlineLevel="0" collapsed="false">
      <c r="A90" s="1" t="s">
        <v>952</v>
      </c>
      <c r="B90" s="1" t="s">
        <v>953</v>
      </c>
      <c r="C90" s="1" t="s">
        <v>954</v>
      </c>
      <c r="F90" s="1" t="s">
        <v>955</v>
      </c>
      <c r="G90" s="1" t="s">
        <v>821</v>
      </c>
      <c r="H90" s="1" t="s">
        <v>956</v>
      </c>
      <c r="I90" s="1" t="s">
        <v>950</v>
      </c>
      <c r="J90" s="1" t="s">
        <v>957</v>
      </c>
      <c r="K90" s="1" t="s">
        <v>958</v>
      </c>
    </row>
    <row r="91" customFormat="false" ht="15" hidden="false" customHeight="true" outlineLevel="0" collapsed="false">
      <c r="A91" s="1" t="s">
        <v>959</v>
      </c>
      <c r="B91" s="1" t="s">
        <v>960</v>
      </c>
      <c r="C91" s="1" t="s">
        <v>836</v>
      </c>
      <c r="F91" s="1" t="s">
        <v>961</v>
      </c>
      <c r="G91" s="1" t="s">
        <v>838</v>
      </c>
      <c r="H91" s="1" t="s">
        <v>962</v>
      </c>
      <c r="I91" s="1" t="s">
        <v>762</v>
      </c>
      <c r="J91" s="1" t="s">
        <v>963</v>
      </c>
      <c r="K91" s="1" t="s">
        <v>964</v>
      </c>
    </row>
    <row r="92" customFormat="false" ht="15" hidden="false" customHeight="true" outlineLevel="0" collapsed="false">
      <c r="A92" s="1" t="s">
        <v>965</v>
      </c>
      <c r="B92" s="1" t="s">
        <v>966</v>
      </c>
      <c r="C92" s="1" t="s">
        <v>836</v>
      </c>
      <c r="D92" s="1" t="n">
        <v>2002115</v>
      </c>
      <c r="E92" s="1" t="s">
        <v>967</v>
      </c>
      <c r="F92" s="1" t="s">
        <v>968</v>
      </c>
      <c r="G92" s="1" t="s">
        <v>838</v>
      </c>
      <c r="H92" s="1" t="s">
        <v>728</v>
      </c>
      <c r="I92" s="1" t="s">
        <v>762</v>
      </c>
      <c r="J92" s="1" t="s">
        <v>730</v>
      </c>
      <c r="K92" s="1" t="s">
        <v>969</v>
      </c>
    </row>
    <row r="93" customFormat="false" ht="15" hidden="false" customHeight="true" outlineLevel="0" collapsed="false">
      <c r="A93" s="1" t="s">
        <v>970</v>
      </c>
      <c r="B93" s="1" t="s">
        <v>971</v>
      </c>
      <c r="C93" s="1" t="s">
        <v>972</v>
      </c>
      <c r="F93" s="1" t="s">
        <v>973</v>
      </c>
      <c r="G93" s="1" t="s">
        <v>974</v>
      </c>
      <c r="H93" s="1" t="s">
        <v>975</v>
      </c>
      <c r="I93" s="1" t="s">
        <v>762</v>
      </c>
      <c r="J93" s="1" t="s">
        <v>976</v>
      </c>
      <c r="K93" s="1" t="s">
        <v>977</v>
      </c>
    </row>
    <row r="94" customFormat="false" ht="15" hidden="false" customHeight="true" outlineLevel="0" collapsed="false">
      <c r="A94" s="1" t="s">
        <v>978</v>
      </c>
      <c r="B94" s="1" t="s">
        <v>979</v>
      </c>
      <c r="C94" s="1" t="s">
        <v>980</v>
      </c>
      <c r="D94" s="1" t="n">
        <v>5149139</v>
      </c>
      <c r="E94" s="1" t="s">
        <v>981</v>
      </c>
      <c r="F94" s="1" t="s">
        <v>982</v>
      </c>
      <c r="G94" s="1" t="s">
        <v>821</v>
      </c>
      <c r="H94" s="1" t="s">
        <v>983</v>
      </c>
      <c r="I94" s="1" t="s">
        <v>762</v>
      </c>
      <c r="J94" s="1" t="s">
        <v>730</v>
      </c>
      <c r="K94" s="1" t="s">
        <v>984</v>
      </c>
    </row>
    <row r="95" customFormat="false" ht="15" hidden="false" customHeight="true" outlineLevel="0" collapsed="false">
      <c r="A95" s="1" t="s">
        <v>985</v>
      </c>
      <c r="B95" s="1" t="s">
        <v>986</v>
      </c>
      <c r="C95" s="1" t="s">
        <v>987</v>
      </c>
      <c r="D95" s="1" t="n">
        <v>18551</v>
      </c>
      <c r="E95" s="1" t="s">
        <v>988</v>
      </c>
      <c r="F95" s="1" t="s">
        <v>989</v>
      </c>
      <c r="G95" s="1" t="s">
        <v>990</v>
      </c>
      <c r="H95" s="1" t="s">
        <v>991</v>
      </c>
      <c r="I95" s="1" t="s">
        <v>762</v>
      </c>
      <c r="J95" s="1" t="s">
        <v>730</v>
      </c>
      <c r="K95" s="1" t="s">
        <v>992</v>
      </c>
    </row>
    <row r="96" customFormat="false" ht="15" hidden="false" customHeight="true" outlineLevel="0" collapsed="false">
      <c r="A96" s="1" t="s">
        <v>993</v>
      </c>
      <c r="B96" s="1" t="s">
        <v>994</v>
      </c>
      <c r="C96" s="1" t="s">
        <v>995</v>
      </c>
      <c r="D96" s="1" t="n">
        <v>45000</v>
      </c>
      <c r="E96" s="1" t="s">
        <v>996</v>
      </c>
      <c r="F96" s="1" t="s">
        <v>997</v>
      </c>
      <c r="G96" s="1" t="s">
        <v>998</v>
      </c>
      <c r="H96" s="1" t="s">
        <v>728</v>
      </c>
      <c r="I96" s="1" t="s">
        <v>762</v>
      </c>
      <c r="J96" s="1" t="s">
        <v>999</v>
      </c>
      <c r="K96" s="1" t="s">
        <v>1000</v>
      </c>
    </row>
    <row r="97" customFormat="false" ht="15" hidden="false" customHeight="true" outlineLevel="0" collapsed="false">
      <c r="A97" s="1" t="s">
        <v>1001</v>
      </c>
      <c r="B97" s="1" t="s">
        <v>736</v>
      </c>
      <c r="C97" s="1" t="s">
        <v>1002</v>
      </c>
      <c r="D97" s="1" t="n">
        <v>91</v>
      </c>
      <c r="E97" s="1" t="s">
        <v>1003</v>
      </c>
      <c r="F97" s="1" t="s">
        <v>1004</v>
      </c>
      <c r="G97" s="1" t="s">
        <v>735</v>
      </c>
      <c r="H97" s="1" t="s">
        <v>728</v>
      </c>
      <c r="I97" s="1" t="s">
        <v>762</v>
      </c>
      <c r="J97" s="1" t="s">
        <v>730</v>
      </c>
      <c r="K97" s="1" t="s">
        <v>736</v>
      </c>
    </row>
    <row r="98" customFormat="false" ht="15" hidden="false" customHeight="true" outlineLevel="0" collapsed="false">
      <c r="A98" s="1" t="s">
        <v>1005</v>
      </c>
      <c r="B98" s="1" t="s">
        <v>736</v>
      </c>
      <c r="C98" s="1" t="s">
        <v>1006</v>
      </c>
      <c r="E98" s="1" t="s">
        <v>1007</v>
      </c>
      <c r="F98" s="1" t="s">
        <v>736</v>
      </c>
      <c r="G98" s="1" t="s">
        <v>735</v>
      </c>
      <c r="H98" s="1" t="s">
        <v>728</v>
      </c>
      <c r="I98" s="1" t="s">
        <v>762</v>
      </c>
      <c r="J98" s="1" t="s">
        <v>730</v>
      </c>
      <c r="K98" s="1" t="s">
        <v>1008</v>
      </c>
    </row>
    <row r="99" customFormat="false" ht="15" hidden="false" customHeight="true" outlineLevel="0" collapsed="false">
      <c r="A99" s="1" t="s">
        <v>1009</v>
      </c>
      <c r="B99" s="1" t="s">
        <v>1010</v>
      </c>
      <c r="C99" s="1" t="s">
        <v>1011</v>
      </c>
      <c r="D99" s="1" t="n">
        <v>89</v>
      </c>
      <c r="E99" s="1" t="s">
        <v>1012</v>
      </c>
      <c r="F99" s="1" t="s">
        <v>1013</v>
      </c>
      <c r="G99" s="1" t="s">
        <v>733</v>
      </c>
      <c r="H99" s="1" t="s">
        <v>728</v>
      </c>
      <c r="I99" s="1" t="s">
        <v>762</v>
      </c>
      <c r="J99" s="1" t="s">
        <v>730</v>
      </c>
      <c r="K99" s="1" t="s">
        <v>1014</v>
      </c>
    </row>
    <row r="100" customFormat="false" ht="15" hidden="false" customHeight="true" outlineLevel="0" collapsed="false">
      <c r="A100" s="1" t="s">
        <v>1015</v>
      </c>
      <c r="B100" s="1" t="s">
        <v>736</v>
      </c>
      <c r="C100" s="1" t="s">
        <v>1016</v>
      </c>
      <c r="D100" s="1" t="n">
        <v>100000</v>
      </c>
      <c r="E100" s="1" t="s">
        <v>1017</v>
      </c>
      <c r="F100" s="1" t="s">
        <v>1018</v>
      </c>
      <c r="G100" s="1" t="s">
        <v>740</v>
      </c>
      <c r="H100" s="1" t="s">
        <v>728</v>
      </c>
      <c r="I100" s="1" t="s">
        <v>762</v>
      </c>
      <c r="J100" s="1" t="s">
        <v>730</v>
      </c>
      <c r="K100" s="1" t="s">
        <v>1019</v>
      </c>
    </row>
    <row r="101" customFormat="false" ht="15" hidden="false" customHeight="true" outlineLevel="0" collapsed="false">
      <c r="A101" s="1" t="s">
        <v>1020</v>
      </c>
      <c r="B101" s="1" t="s">
        <v>736</v>
      </c>
      <c r="C101" s="1" t="s">
        <v>1021</v>
      </c>
      <c r="D101" s="1" t="n">
        <v>50000</v>
      </c>
      <c r="E101" s="1" t="s">
        <v>1022</v>
      </c>
      <c r="F101" s="1" t="s">
        <v>728</v>
      </c>
      <c r="G101" s="1" t="s">
        <v>738</v>
      </c>
      <c r="H101" s="1" t="s">
        <v>728</v>
      </c>
      <c r="I101" s="1" t="s">
        <v>762</v>
      </c>
      <c r="J101" s="1" t="s">
        <v>730</v>
      </c>
      <c r="K101" s="1" t="s">
        <v>1023</v>
      </c>
    </row>
    <row r="102" customFormat="false" ht="15" hidden="false" customHeight="true" outlineLevel="0" collapsed="false">
      <c r="A102" s="1" t="s">
        <v>1024</v>
      </c>
      <c r="B102" s="1" t="s">
        <v>1025</v>
      </c>
      <c r="C102" s="1" t="s">
        <v>1026</v>
      </c>
      <c r="D102" s="1" t="n">
        <v>20000</v>
      </c>
      <c r="E102" s="1" t="s">
        <v>1027</v>
      </c>
      <c r="F102" s="1" t="s">
        <v>728</v>
      </c>
      <c r="G102" s="1" t="s">
        <v>727</v>
      </c>
      <c r="H102" s="1" t="s">
        <v>728</v>
      </c>
      <c r="I102" s="1" t="s">
        <v>762</v>
      </c>
      <c r="J102" s="1" t="s">
        <v>730</v>
      </c>
      <c r="K102" s="1" t="s">
        <v>1028</v>
      </c>
    </row>
    <row r="103" customFormat="false" ht="15" hidden="false" customHeight="true" outlineLevel="0" collapsed="false">
      <c r="A103" s="1" t="s">
        <v>1029</v>
      </c>
      <c r="B103" s="1" t="s">
        <v>736</v>
      </c>
      <c r="C103" s="1" t="s">
        <v>1030</v>
      </c>
      <c r="D103" s="1" t="n">
        <v>100000</v>
      </c>
      <c r="E103" s="1" t="s">
        <v>1031</v>
      </c>
      <c r="F103" s="1" t="s">
        <v>1032</v>
      </c>
      <c r="G103" s="1" t="s">
        <v>740</v>
      </c>
      <c r="H103" s="1" t="s">
        <v>728</v>
      </c>
      <c r="I103" s="1" t="s">
        <v>1033</v>
      </c>
      <c r="J103" s="1" t="s">
        <v>730</v>
      </c>
      <c r="K103" s="1" t="s">
        <v>1034</v>
      </c>
    </row>
    <row r="104" customFormat="false" ht="15" hidden="false" customHeight="true" outlineLevel="0" collapsed="false">
      <c r="A104" s="1" t="s">
        <v>1035</v>
      </c>
      <c r="B104" s="1" t="s">
        <v>1036</v>
      </c>
      <c r="C104" s="1" t="s">
        <v>1037</v>
      </c>
      <c r="E104" s="1" t="s">
        <v>1038</v>
      </c>
      <c r="F104" s="1" t="s">
        <v>1039</v>
      </c>
      <c r="G104" s="1" t="s">
        <v>733</v>
      </c>
      <c r="H104" s="1" t="s">
        <v>728</v>
      </c>
      <c r="I104" s="1" t="s">
        <v>1033</v>
      </c>
      <c r="J104" s="1" t="s">
        <v>730</v>
      </c>
      <c r="K104" s="1" t="s">
        <v>1040</v>
      </c>
    </row>
    <row r="105" customFormat="false" ht="15" hidden="false" customHeight="true" outlineLevel="0" collapsed="false">
      <c r="A105" s="1" t="s">
        <v>1041</v>
      </c>
      <c r="B105" s="1" t="s">
        <v>736</v>
      </c>
      <c r="C105" s="1" t="s">
        <v>1042</v>
      </c>
      <c r="D105" s="1" t="n">
        <v>17900000</v>
      </c>
      <c r="E105" s="1" t="s">
        <v>1043</v>
      </c>
      <c r="F105" s="1" t="s">
        <v>1044</v>
      </c>
      <c r="G105" s="1" t="s">
        <v>740</v>
      </c>
      <c r="H105" s="1" t="s">
        <v>728</v>
      </c>
      <c r="I105" s="1" t="s">
        <v>1033</v>
      </c>
      <c r="J105" s="1" t="s">
        <v>730</v>
      </c>
      <c r="K105" s="1" t="s">
        <v>1045</v>
      </c>
    </row>
    <row r="106" customFormat="false" ht="15" hidden="false" customHeight="true" outlineLevel="0" collapsed="false">
      <c r="A106" s="1" t="s">
        <v>1046</v>
      </c>
      <c r="B106" s="1" t="s">
        <v>736</v>
      </c>
      <c r="C106" s="1" t="s">
        <v>1047</v>
      </c>
      <c r="E106" s="1" t="s">
        <v>1048</v>
      </c>
      <c r="F106" s="1" t="s">
        <v>1049</v>
      </c>
      <c r="G106" s="1" t="s">
        <v>740</v>
      </c>
      <c r="H106" s="1" t="s">
        <v>728</v>
      </c>
      <c r="I106" s="1" t="s">
        <v>1033</v>
      </c>
      <c r="J106" s="1" t="s">
        <v>1050</v>
      </c>
      <c r="K106" s="1" t="s">
        <v>1051</v>
      </c>
    </row>
    <row r="107" customFormat="false" ht="15" hidden="false" customHeight="true" outlineLevel="0" collapsed="false">
      <c r="A107" s="1" t="s">
        <v>1052</v>
      </c>
      <c r="B107" s="1" t="s">
        <v>736</v>
      </c>
      <c r="C107" s="1" t="s">
        <v>1053</v>
      </c>
      <c r="E107" s="1" t="s">
        <v>1054</v>
      </c>
      <c r="F107" s="1" t="s">
        <v>1055</v>
      </c>
      <c r="G107" s="1" t="s">
        <v>740</v>
      </c>
      <c r="H107" s="1" t="s">
        <v>728</v>
      </c>
      <c r="I107" s="1" t="s">
        <v>1056</v>
      </c>
      <c r="J107" s="1" t="s">
        <v>1057</v>
      </c>
      <c r="K107" s="1" t="s">
        <v>1058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1059</v>
      </c>
    </row>
    <row r="2" customFormat="false" ht="15" hidden="false" customHeight="true" outlineLevel="0" collapsed="false">
      <c r="A2" s="1" t="s">
        <v>1060</v>
      </c>
    </row>
    <row r="4" customFormat="false" ht="15" hidden="false" customHeight="true" outlineLevel="0" collapsed="false">
      <c r="A4" s="1" t="s">
        <v>259</v>
      </c>
      <c r="B4" s="1" t="s">
        <v>1061</v>
      </c>
      <c r="C4" s="1" t="s">
        <v>1062</v>
      </c>
      <c r="D4" s="1" t="s">
        <v>89</v>
      </c>
      <c r="E4" s="1" t="s">
        <v>86</v>
      </c>
      <c r="F4" s="1" t="s">
        <v>70</v>
      </c>
      <c r="G4" s="1" t="s">
        <v>128</v>
      </c>
      <c r="H4" s="1" t="s">
        <v>72</v>
      </c>
      <c r="I4" s="1" t="s">
        <v>1063</v>
      </c>
      <c r="J4" s="1" t="s">
        <v>1064</v>
      </c>
      <c r="K4" s="1" t="s">
        <v>1065</v>
      </c>
      <c r="L4" s="1" t="s">
        <v>1066</v>
      </c>
      <c r="M4" s="1" t="s">
        <v>1067</v>
      </c>
      <c r="N4" s="1" t="s">
        <v>1068</v>
      </c>
      <c r="O4" s="1" t="s">
        <v>1069</v>
      </c>
      <c r="P4" s="1" t="s">
        <v>1070</v>
      </c>
      <c r="Q4" s="1" t="s">
        <v>1071</v>
      </c>
      <c r="R4" s="1" t="s">
        <v>1072</v>
      </c>
      <c r="S4" s="1" t="s">
        <v>1073</v>
      </c>
      <c r="T4" s="1" t="s">
        <v>1074</v>
      </c>
    </row>
    <row r="5" customFormat="false" ht="15" hidden="false" customHeight="true" outlineLevel="0" collapsed="false">
      <c r="A5" s="1" t="s">
        <v>264</v>
      </c>
      <c r="B5" s="1"/>
      <c r="C5" s="1" t="n">
        <f aca="false">COUNTIF(Wording_Ranks!$F$2:$F$136,"Full")+COUNTIF(Wording_Ranks!$F$2:$F$136,"Partial")+COUNTIF(Wording_Ranks!$F$2:$F$136,"Ancillary")</f>
        <v>91</v>
      </c>
      <c r="D5" s="1" t="n">
        <f aca="false">COUNTIF(Wording_Ranks!$F$2:$F$136,"Full")</f>
        <v>49</v>
      </c>
      <c r="E5" s="1" t="n">
        <f aca="false">COUNTIF(Wording_Ranks!$F$2:$F$136,"Partial")</f>
        <v>41</v>
      </c>
      <c r="F5" s="1" t="n">
        <f aca="false">COUNTIF(Wording_Ranks!$F$2:$F$136,"Ancillary")</f>
        <v>1</v>
      </c>
      <c r="G5" s="1" t="n">
        <f aca="false">COUNTIF(Wording_Ranks!$F$2:$F$136,"Child-only")</f>
        <v>0</v>
      </c>
      <c r="H5" s="89" t="n">
        <f aca="false">COUNTIF(Wording_Ranks!$F$2:$F$136,"Not covered")</f>
        <v>44</v>
      </c>
      <c r="I5" s="1" t="n">
        <f aca="false">SUM(C5,G5,H5)</f>
        <v>135</v>
      </c>
      <c r="J5" s="1" t="n">
        <f aca="false">Tail_bounds!E7</f>
        <v>16051.4351446291</v>
      </c>
      <c r="K5" s="89" t="n">
        <f aca="false">Portfolio!F75</f>
        <v>0.849430065786207</v>
      </c>
      <c r="L5" s="1"/>
      <c r="M5" s="1" t="n">
        <f aca="false">RANK(J5,$J$5:$J$9)</f>
        <v>1</v>
      </c>
      <c r="N5" s="1" t="n">
        <f aca="false">RANK(K5,$K$5:$K$9)</f>
        <v>1</v>
      </c>
      <c r="O5" s="1" t="n">
        <f aca="false">RANK(C5,$C$5:$C$9)</f>
        <v>3</v>
      </c>
      <c r="P5" s="1" t="n">
        <f aca="false">RANK(D5,$D$5:$D$9)</f>
        <v>3</v>
      </c>
      <c r="Q5" s="1" t="n">
        <f aca="false">RANK(C5,C$5:C$9)+(COUNTIF(C$5:C$9,C5)-1)/2</f>
        <v>3</v>
      </c>
      <c r="R5" s="1" t="n">
        <f aca="false">RANK(D5,D$5:D$9)+(COUNTIF(D$5:D$9,D5)-1)/2</f>
        <v>3</v>
      </c>
      <c r="S5" s="1" t="n">
        <f aca="false">RANK(J5,J$5:J$9)+(COUNTIF(J$5:J$9,J5)-1)/2</f>
        <v>1</v>
      </c>
      <c r="T5" s="1" t="n">
        <f aca="false">RANK(K5,K$5:K$9)+(COUNTIF(K$5:K$9,K5)-1)/2</f>
        <v>1</v>
      </c>
    </row>
    <row r="6" customFormat="false" ht="15" hidden="false" customHeight="true" outlineLevel="0" collapsed="false">
      <c r="A6" s="1" t="s">
        <v>265</v>
      </c>
      <c r="B6" s="1"/>
      <c r="C6" s="1" t="n">
        <f aca="false">COUNTIF(Wording_Ranks!$H$2:$H$136,"Full")+COUNTIF(Wording_Ranks!$H$2:$H$136,"Partial")+COUNTIF(Wording_Ranks!$H$2:$H$136,"Ancillary")</f>
        <v>98</v>
      </c>
      <c r="D6" s="1" t="n">
        <f aca="false">COUNTIF(Wording_Ranks!$H$2:$H$136,"Full")</f>
        <v>46</v>
      </c>
      <c r="E6" s="1" t="n">
        <f aca="false">COUNTIF(Wording_Ranks!$H$2:$H$136,"Partial")</f>
        <v>38</v>
      </c>
      <c r="F6" s="1" t="n">
        <f aca="false">COUNTIF(Wording_Ranks!$H$2:$H$136,"Ancillary")</f>
        <v>14</v>
      </c>
      <c r="G6" s="1" t="n">
        <f aca="false">COUNTIF(Wording_Ranks!$H$2:$H$136,"Child-only")</f>
        <v>1</v>
      </c>
      <c r="H6" s="89" t="n">
        <f aca="false">COUNTIF(Wording_Ranks!$H$2:$H$136,"Not covered")</f>
        <v>36</v>
      </c>
      <c r="I6" s="1" t="n">
        <f aca="false">SUM(C6,G6,H6)</f>
        <v>135</v>
      </c>
      <c r="J6" s="1" t="n">
        <f aca="false">Tail_bounds!F7</f>
        <v>10955.9708156271</v>
      </c>
      <c r="K6" s="89" t="n">
        <f aca="false">Portfolio!F76</f>
        <v>0.592377271141922</v>
      </c>
      <c r="L6" s="1"/>
      <c r="M6" s="1" t="n">
        <f aca="false">RANK(J6,$J$5:$J$9)</f>
        <v>4</v>
      </c>
      <c r="N6" s="1" t="n">
        <f aca="false">RANK(K6,$K$5:$K$9)</f>
        <v>4</v>
      </c>
      <c r="O6" s="1" t="n">
        <f aca="false">RANK(C6,$C$5:$C$9)</f>
        <v>2</v>
      </c>
      <c r="P6" s="1" t="n">
        <f aca="false">RANK(D6,$D$5:$D$9)</f>
        <v>4</v>
      </c>
      <c r="Q6" s="1" t="n">
        <f aca="false">RANK(C6,C$5:C$9)+(COUNTIF(C$5:C$9,C6)-1)/2</f>
        <v>2</v>
      </c>
      <c r="R6" s="1" t="n">
        <f aca="false">RANK(D6,D$5:D$9)+(COUNTIF(D$5:D$9,D6)-1)/2</f>
        <v>4</v>
      </c>
      <c r="S6" s="1" t="n">
        <f aca="false">RANK(J6,J$5:J$9)+(COUNTIF(J$5:J$9,J6)-1)/2</f>
        <v>4</v>
      </c>
      <c r="T6" s="1" t="n">
        <f aca="false">RANK(K6,K$5:K$9)+(COUNTIF(K$5:K$9,K6)-1)/2</f>
        <v>4</v>
      </c>
    </row>
    <row r="7" customFormat="false" ht="15" hidden="false" customHeight="true" outlineLevel="0" collapsed="false">
      <c r="A7" s="1" t="s">
        <v>266</v>
      </c>
      <c r="B7" s="1"/>
      <c r="C7" s="1" t="n">
        <f aca="false">COUNTIF(Wording_Ranks!$J$2:$J$136,"Full")+COUNTIF(Wording_Ranks!$J$2:$J$136,"Partial")+COUNTIF(Wording_Ranks!$J$2:$J$136,"Ancillary")</f>
        <v>90</v>
      </c>
      <c r="D7" s="1" t="n">
        <f aca="false">COUNTIF(Wording_Ranks!$J$2:$J$136,"Full")</f>
        <v>54</v>
      </c>
      <c r="E7" s="1" t="n">
        <f aca="false">COUNTIF(Wording_Ranks!$J$2:$J$136,"Partial")</f>
        <v>34</v>
      </c>
      <c r="F7" s="1" t="n">
        <f aca="false">COUNTIF(Wording_Ranks!$J$2:$J$136,"Ancillary")</f>
        <v>2</v>
      </c>
      <c r="G7" s="1" t="n">
        <f aca="false">COUNTIF(Wording_Ranks!$J$2:$J$136,"Child-only")</f>
        <v>1</v>
      </c>
      <c r="H7" s="89" t="n">
        <f aca="false">COUNTIF(Wording_Ranks!$J$2:$J$136,"Not covered")</f>
        <v>44</v>
      </c>
      <c r="I7" s="1" t="n">
        <f aca="false">SUM(C7,G7,H7)</f>
        <v>135</v>
      </c>
      <c r="J7" s="1" t="n">
        <f aca="false">Tail_bounds!G7</f>
        <v>6047.20282987368</v>
      </c>
      <c r="K7" s="89" t="n">
        <f aca="false">Portfolio!F77</f>
        <v>0.334980687927349</v>
      </c>
      <c r="L7" s="1"/>
      <c r="M7" s="1" t="n">
        <f aca="false">RANK(J7,$J$5:$J$9)</f>
        <v>5</v>
      </c>
      <c r="N7" s="1" t="n">
        <f aca="false">RANK(K7,$K$5:$K$9)</f>
        <v>5</v>
      </c>
      <c r="O7" s="1" t="n">
        <f aca="false">RANK(C7,$C$5:$C$9)</f>
        <v>4</v>
      </c>
      <c r="P7" s="1" t="n">
        <f aca="false">RANK(D7,$D$5:$D$9)</f>
        <v>2</v>
      </c>
      <c r="Q7" s="1" t="n">
        <f aca="false">RANK(C7,C$5:C$9)+(COUNTIF(C$5:C$9,C7)-1)/2</f>
        <v>4</v>
      </c>
      <c r="R7" s="1" t="n">
        <f aca="false">RANK(D7,D$5:D$9)+(COUNTIF(D$5:D$9,D7)-1)/2</f>
        <v>2</v>
      </c>
      <c r="S7" s="1" t="n">
        <f aca="false">RANK(J7,J$5:J$9)+(COUNTIF(J$5:J$9,J7)-1)/2</f>
        <v>5</v>
      </c>
      <c r="T7" s="1" t="n">
        <f aca="false">RANK(K7,K$5:K$9)+(COUNTIF(K$5:K$9,K7)-1)/2</f>
        <v>5</v>
      </c>
    </row>
    <row r="8" customFormat="false" ht="15" hidden="false" customHeight="true" outlineLevel="0" collapsed="false">
      <c r="A8" s="1" t="s">
        <v>267</v>
      </c>
      <c r="B8" s="1"/>
      <c r="C8" s="1" t="n">
        <f aca="false">COUNTIF(Wording_Ranks!$M$2:$M$136,"Full")+COUNTIF(Wording_Ranks!$M$2:$M$136,"Partial")+COUNTIF(Wording_Ranks!$M$2:$M$136,"Ancillary")</f>
        <v>109</v>
      </c>
      <c r="D8" s="1" t="n">
        <f aca="false">COUNTIF(Wording_Ranks!$M$2:$M$136,"Full")</f>
        <v>56</v>
      </c>
      <c r="E8" s="1" t="n">
        <f aca="false">COUNTIF(Wording_Ranks!$M$2:$M$136,"Partial")</f>
        <v>49</v>
      </c>
      <c r="F8" s="1" t="n">
        <f aca="false">COUNTIF(Wording_Ranks!$M$2:$M$136,"Ancillary")</f>
        <v>4</v>
      </c>
      <c r="G8" s="1" t="n">
        <f aca="false">COUNTIF(Wording_Ranks!$M$2:$M$136,"Child-only")</f>
        <v>1</v>
      </c>
      <c r="H8" s="89" t="n">
        <f aca="false">COUNTIF(Wording_Ranks!$M$2:$M$136,"Not covered")</f>
        <v>25</v>
      </c>
      <c r="I8" s="1" t="n">
        <f aca="false">SUM(C8,G8,H8)</f>
        <v>135</v>
      </c>
      <c r="J8" s="1" t="n">
        <f aca="false">Tail_bounds!H7</f>
        <v>14219.7617631399</v>
      </c>
      <c r="K8" s="89" t="n">
        <f aca="false">Portfolio!F78</f>
        <v>0.811585012083057</v>
      </c>
      <c r="L8" s="1"/>
      <c r="M8" s="1" t="n">
        <f aca="false">RANK(J8,$J$5:$J$9)</f>
        <v>3</v>
      </c>
      <c r="N8" s="1" t="n">
        <f aca="false">RANK(K8,$K$5:$K$9)</f>
        <v>2</v>
      </c>
      <c r="O8" s="1" t="n">
        <f aca="false">RANK(C8,$C$5:$C$9)</f>
        <v>1</v>
      </c>
      <c r="P8" s="1" t="n">
        <f aca="false">RANK(D8,$D$5:$D$9)</f>
        <v>1</v>
      </c>
      <c r="Q8" s="1" t="n">
        <f aca="false">RANK(C8,C$5:C$9)+(COUNTIF(C$5:C$9,C8)-1)/2</f>
        <v>1</v>
      </c>
      <c r="R8" s="1" t="n">
        <f aca="false">RANK(D8,D$5:D$9)+(COUNTIF(D$5:D$9,D8)-1)/2</f>
        <v>1</v>
      </c>
      <c r="S8" s="1" t="n">
        <f aca="false">RANK(J8,J$5:J$9)+(COUNTIF(J$5:J$9,J8)-1)/2</f>
        <v>3</v>
      </c>
      <c r="T8" s="1" t="n">
        <f aca="false">RANK(K8,K$5:K$9)+(COUNTIF(K$5:K$9,K8)-1)/2</f>
        <v>2</v>
      </c>
    </row>
    <row r="9" customFormat="false" ht="15" hidden="false" customHeight="true" outlineLevel="0" collapsed="false">
      <c r="A9" s="1" t="s">
        <v>268</v>
      </c>
      <c r="B9" s="1"/>
      <c r="C9" s="1" t="n">
        <f aca="false">COUNTIF(Wording_Ranks!$O$2:$O$136,"Full")+COUNTIF(Wording_Ranks!$O$2:$O$136,"Partial")+COUNTIF(Wording_Ranks!$O$2:$O$136,"Ancillary")</f>
        <v>75</v>
      </c>
      <c r="D9" s="1" t="n">
        <f aca="false">COUNTIF(Wording_Ranks!$O$2:$O$136,"Full")</f>
        <v>45</v>
      </c>
      <c r="E9" s="1" t="n">
        <f aca="false">COUNTIF(Wording_Ranks!$O$2:$O$136,"Partial")</f>
        <v>25</v>
      </c>
      <c r="F9" s="1" t="n">
        <f aca="false">COUNTIF(Wording_Ranks!$O$2:$O$136,"Ancillary")</f>
        <v>5</v>
      </c>
      <c r="G9" s="1" t="n">
        <f aca="false">COUNTIF(Wording_Ranks!$O$2:$O$136,"Child-only")</f>
        <v>5</v>
      </c>
      <c r="H9" s="89" t="n">
        <f aca="false">COUNTIF(Wording_Ranks!$O$2:$O$136,"Not covered")</f>
        <v>55</v>
      </c>
      <c r="I9" s="1" t="n">
        <f aca="false">SUM(C9,G9,H9)</f>
        <v>135</v>
      </c>
      <c r="J9" s="1" t="n">
        <f aca="false">Tail_bounds!I7</f>
        <v>15079.1202870229</v>
      </c>
      <c r="K9" s="89" t="n">
        <f aca="false">Portfolio!F79</f>
        <v>0.775781946494312</v>
      </c>
      <c r="L9" s="1"/>
      <c r="M9" s="1" t="n">
        <f aca="false">RANK(J9,$J$5:$J$9)</f>
        <v>2</v>
      </c>
      <c r="N9" s="1" t="n">
        <f aca="false">RANK(K9,$K$5:$K$9)</f>
        <v>3</v>
      </c>
      <c r="O9" s="1" t="n">
        <f aca="false">RANK(C9,$C$5:$C$9)</f>
        <v>5</v>
      </c>
      <c r="P9" s="1" t="n">
        <f aca="false">RANK(D9,$D$5:$D$9)</f>
        <v>5</v>
      </c>
      <c r="Q9" s="1" t="n">
        <f aca="false">RANK(C9,C$5:C$9)+(COUNTIF(C$5:C$9,C9)-1)/2</f>
        <v>5</v>
      </c>
      <c r="R9" s="1" t="n">
        <f aca="false">RANK(D9,D$5:D$9)+(COUNTIF(D$5:D$9,D9)-1)/2</f>
        <v>5</v>
      </c>
      <c r="S9" s="1" t="n">
        <f aca="false">RANK(J9,J$5:J$9)+(COUNTIF(J$5:J$9,J9)-1)/2</f>
        <v>2</v>
      </c>
      <c r="T9" s="1" t="n">
        <f aca="false">RANK(K9,K$5:K$9)+(COUNTIF(K$5:K$9,K9)-1)/2</f>
        <v>3</v>
      </c>
    </row>
    <row r="11" customFormat="false" ht="15" hidden="false" customHeight="true" outlineLevel="0" collapsed="false">
      <c r="A11" s="1" t="s">
        <v>1075</v>
      </c>
      <c r="B11" s="1" t="s">
        <v>1076</v>
      </c>
      <c r="D11" s="1" t="n">
        <v>0.1</v>
      </c>
      <c r="E11" s="1" t="n">
        <v>0.5</v>
      </c>
    </row>
    <row r="12" customFormat="false" ht="15" hidden="false" customHeight="true" outlineLevel="0" collapsed="false">
      <c r="A12" s="1" t="s">
        <v>1077</v>
      </c>
      <c r="B12" s="1" t="s">
        <v>1078</v>
      </c>
      <c r="C12" s="1" t="s">
        <v>1079</v>
      </c>
      <c r="D12" s="1" t="n">
        <v>0.5</v>
      </c>
      <c r="E12" s="1"/>
    </row>
    <row r="13" customFormat="false" ht="15" hidden="false" customHeight="true" outlineLevel="0" collapsed="false">
      <c r="A13" s="1"/>
      <c r="B13" s="1" t="s">
        <v>1080</v>
      </c>
      <c r="C13" s="1"/>
      <c r="D13" s="1" t="n">
        <v>-0.1</v>
      </c>
      <c r="E13" s="1" t="n">
        <v>0.3</v>
      </c>
      <c r="F13" s="1" t="n">
        <v>-0.3</v>
      </c>
      <c r="G13" s="1" t="n">
        <v>0.1</v>
      </c>
    </row>
    <row r="14" customFormat="false" ht="15" hidden="false" customHeight="true" outlineLevel="0" collapsed="false">
      <c r="A14" s="1"/>
      <c r="B14" s="1"/>
      <c r="C14" s="1"/>
    </row>
    <row r="15" customFormat="false" ht="15" hidden="false" customHeight="true" outlineLevel="0" collapsed="false">
      <c r="A15" s="1"/>
      <c r="B15" s="1" t="s">
        <v>1081</v>
      </c>
      <c r="C15" s="1"/>
      <c r="D15" s="1" t="n">
        <v>-0.1</v>
      </c>
      <c r="E15" s="1" t="n">
        <v>0.3</v>
      </c>
      <c r="F15" s="1" t="n">
        <v>-0.3</v>
      </c>
      <c r="G15" s="1" t="n">
        <v>0.1</v>
      </c>
    </row>
    <row r="21" customFormat="false" ht="15" hidden="false" customHeight="true" outlineLevel="0" collapsed="false">
      <c r="B21" s="1" t="s">
        <v>1082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1083</v>
      </c>
    </row>
    <row r="2" customFormat="false" ht="15" hidden="false" customHeight="true" outlineLevel="0" collapsed="false">
      <c r="A2" s="1" t="s">
        <v>1084</v>
      </c>
    </row>
    <row r="4" customFormat="false" ht="15" hidden="false" customHeight="true" outlineLevel="0" collapsed="false">
      <c r="B4" s="1" t="s">
        <v>515</v>
      </c>
      <c r="C4" s="94" t="n">
        <f aca="false">EPV_cancer!C7</f>
        <v>161000</v>
      </c>
    </row>
    <row r="5" customFormat="false" ht="15" hidden="false" customHeight="true" outlineLevel="0" collapsed="false">
      <c r="B5" s="1" t="s">
        <v>1085</v>
      </c>
      <c r="C5" s="89" t="n">
        <f aca="false">EPV_noncancer!C9</f>
        <v>19.6004413494698</v>
      </c>
    </row>
    <row r="6" customFormat="false" ht="15" hidden="false" customHeight="true" outlineLevel="0" collapsed="false">
      <c r="B6" s="1" t="s">
        <v>1086</v>
      </c>
      <c r="C6" s="1" t="n">
        <v>0.01</v>
      </c>
      <c r="AF6" s="1" t="s">
        <v>1087</v>
      </c>
      <c r="AG6" s="1" t="s">
        <v>1088</v>
      </c>
      <c r="AI6" s="1" t="s">
        <v>1089</v>
      </c>
      <c r="AM6" s="1" t="s">
        <v>1090</v>
      </c>
      <c r="AN6" s="1" t="s">
        <v>1091</v>
      </c>
      <c r="AO6" s="1" t="s">
        <v>1092</v>
      </c>
      <c r="AP6" s="1" t="s">
        <v>1093</v>
      </c>
      <c r="AQ6" s="1" t="s">
        <v>1094</v>
      </c>
      <c r="AR6" s="1" t="s">
        <v>1095</v>
      </c>
    </row>
    <row r="7" customFormat="false" ht="15" hidden="false" customHeight="true" outlineLevel="0" collapsed="false">
      <c r="B7" s="1" t="s">
        <v>1096</v>
      </c>
      <c r="E7" s="1" t="n">
        <f aca="false">(Portfolio!E31+Portfolio!E38)/2</f>
        <v>16051.4351446291</v>
      </c>
      <c r="F7" s="1" t="n">
        <f aca="false">(Portfolio!E32+Portfolio!E39)/2</f>
        <v>10955.9708156271</v>
      </c>
      <c r="G7" s="1" t="n">
        <f aca="false">(Portfolio!E33+Portfolio!E40)/2</f>
        <v>6047.20282987368</v>
      </c>
      <c r="H7" s="1" t="n">
        <f aca="false">(Portfolio!E34+Portfolio!E41)/2</f>
        <v>14219.7617631399</v>
      </c>
      <c r="I7" s="1" t="n">
        <f aca="false">(Portfolio!E35+Portfolio!E42)/2</f>
        <v>15079.1202870229</v>
      </c>
      <c r="AF7" s="1" t="n">
        <f aca="false">SUM(AL10:AL39)</f>
        <v>2067195</v>
      </c>
      <c r="AG7" s="1" t="n">
        <f aca="false">SUM(AL40:AL59)</f>
        <v>1293342</v>
      </c>
      <c r="AI7" s="1" t="n">
        <v>1.5</v>
      </c>
      <c r="AN7" s="1" t="n">
        <v>20000</v>
      </c>
      <c r="AO7" s="1" t="n">
        <v>15000</v>
      </c>
      <c r="AP7" s="1" t="n">
        <v>15000</v>
      </c>
      <c r="AQ7" s="1" t="n">
        <v>15000</v>
      </c>
      <c r="AR7" s="1" t="n">
        <v>15000</v>
      </c>
    </row>
    <row r="8" customFormat="false" ht="15" hidden="false" customHeight="true" outlineLevel="0" collapsed="false">
      <c r="E8" s="1" t="s">
        <v>264</v>
      </c>
      <c r="F8" s="1" t="s">
        <v>265</v>
      </c>
      <c r="G8" s="1" t="s">
        <v>266</v>
      </c>
      <c r="H8" s="1" t="s">
        <v>267</v>
      </c>
      <c r="I8" s="1" t="s">
        <v>268</v>
      </c>
      <c r="AD8" s="1" t="s">
        <v>1097</v>
      </c>
      <c r="AE8" s="1" t="s">
        <v>1098</v>
      </c>
      <c r="AF8" s="1" t="s">
        <v>1099</v>
      </c>
    </row>
    <row r="9" customFormat="false" ht="15" hidden="false" customHeight="true" outlineLevel="0" collapsed="false">
      <c r="A9" s="1" t="s">
        <v>53</v>
      </c>
      <c r="B9" s="1" t="s">
        <v>54</v>
      </c>
      <c r="C9" s="1" t="s">
        <v>55</v>
      </c>
      <c r="D9" s="1" t="s">
        <v>56</v>
      </c>
      <c r="E9" s="1" t="s">
        <v>1100</v>
      </c>
      <c r="F9" s="1" t="s">
        <v>1101</v>
      </c>
      <c r="G9" s="1" t="s">
        <v>1102</v>
      </c>
      <c r="H9" s="1" t="s">
        <v>1103</v>
      </c>
      <c r="I9" s="1" t="s">
        <v>1104</v>
      </c>
      <c r="J9" s="1" t="s">
        <v>1105</v>
      </c>
      <c r="K9" s="1" t="s">
        <v>1106</v>
      </c>
      <c r="L9" s="1" t="s">
        <v>1107</v>
      </c>
      <c r="M9" s="1" t="s">
        <v>1108</v>
      </c>
      <c r="N9" s="1" t="s">
        <v>1109</v>
      </c>
      <c r="O9" s="1" t="s">
        <v>1110</v>
      </c>
      <c r="P9" s="1" t="s">
        <v>1111</v>
      </c>
      <c r="Q9" s="1" t="s">
        <v>1112</v>
      </c>
      <c r="R9" s="1" t="s">
        <v>9</v>
      </c>
      <c r="S9" s="1" t="s">
        <v>1113</v>
      </c>
      <c r="T9" s="1" t="s">
        <v>1114</v>
      </c>
      <c r="U9" s="1" t="s">
        <v>1115</v>
      </c>
      <c r="V9" s="1" t="s">
        <v>1116</v>
      </c>
      <c r="W9" s="1" t="s">
        <v>1117</v>
      </c>
      <c r="X9" s="1" t="s">
        <v>1118</v>
      </c>
      <c r="Y9" s="1" t="s">
        <v>1119</v>
      </c>
      <c r="Z9" s="1" t="s">
        <v>1120</v>
      </c>
      <c r="AA9" s="1" t="s">
        <v>1121</v>
      </c>
      <c r="AB9" s="1" t="s">
        <v>1122</v>
      </c>
      <c r="AC9" s="1" t="s">
        <v>1123</v>
      </c>
      <c r="AD9" s="1" t="s">
        <v>1124</v>
      </c>
      <c r="AE9" s="1" t="s">
        <v>1125</v>
      </c>
      <c r="AF9" s="1" t="s">
        <v>1126</v>
      </c>
      <c r="AG9" s="1" t="s">
        <v>1127</v>
      </c>
      <c r="AH9" s="1" t="s">
        <v>1128</v>
      </c>
      <c r="AI9" s="1" t="s">
        <v>1129</v>
      </c>
      <c r="AJ9" s="1" t="s">
        <v>1130</v>
      </c>
      <c r="AK9" s="1" t="s">
        <v>1131</v>
      </c>
      <c r="AM9" s="1" t="s">
        <v>1132</v>
      </c>
      <c r="AS9" s="1" t="s">
        <v>1133</v>
      </c>
      <c r="AT9" s="1" t="s">
        <v>1134</v>
      </c>
      <c r="AU9" s="1" t="s">
        <v>1135</v>
      </c>
    </row>
    <row r="10" customFormat="false" ht="15" hidden="false" customHeight="true" outlineLevel="0" collapsed="false">
      <c r="A10" s="1" t="n">
        <v>1</v>
      </c>
      <c r="B10" s="1" t="str">
        <f aca="false">Wording_Ranks!B2</f>
        <v>Hospital Cash Cover (Adult)</v>
      </c>
      <c r="C10" s="1" t="str">
        <f aca="false">Wording_Ranks!C2</f>
        <v>Ancillary</v>
      </c>
      <c r="D10" s="1" t="str">
        <f aca="false">Wording_Ranks!D2</f>
        <v>Not primarily illness claim</v>
      </c>
      <c r="E10" s="1" t="str">
        <f aca="false">Wording_Ranks!F2</f>
        <v>Not covered</v>
      </c>
      <c r="F10" s="1" t="str">
        <f aca="false">Wording_Ranks!H2</f>
        <v>Ancillary</v>
      </c>
      <c r="G10" s="1" t="str">
        <f aca="false">Wording_Ranks!J2</f>
        <v>Not covered</v>
      </c>
      <c r="H10" s="1" t="str">
        <f aca="false">Wording_Ranks!M2</f>
        <v>Not covered</v>
      </c>
      <c r="I10" s="1" t="str">
        <f aca="false">Wording_Ranks!O2</f>
        <v>Not covered</v>
      </c>
      <c r="J10" s="98" t="n">
        <f aca="false">IF(OR($E10="Not covered",$E10="Child-only"),0,IF($E10="Full",1,IF($E10="Ancillary",MAX(0.1,MIN(0.5,IF($AN$7="",0.5*$C$4,$AN$7)/$C$4)),MIN(0.5,IF($AN$7="",0.5*$C$4,$AN$7)/$C$4))))</f>
        <v>0</v>
      </c>
      <c r="K10" s="98" t="n">
        <f aca="false">IF(OR($F10="Not covered",$F10="Child-only"),0,IF($F10="Full",1,IF($AD10="Y",$AE10,IF($F10="Ancillary",MAX(0.1,MIN(0.5,IF($AO$7="",0.5*$C$4,$AO$7)/$C$4)),MIN(0.5,IF($AO$7="",0.5*$C$4,$AO$7)/$C$4)))))</f>
        <v>0.1</v>
      </c>
      <c r="L10" s="98" t="n">
        <f aca="false">IF(OR($G10="Not covered",$G10="Child-only"),0,IF($G10="Full",1,IF($G10="Ancillary",MAX(0.1,MIN(0.5,IF($AS10&lt;&gt;"",$AS10,IF($AP$7="",0.5*$C$4,$AP$7))/$C$4)),MIN(0.5,IF($AS10&lt;&gt;"",$AS10,IF($AP$7="",0.5*$C$4,$AP$7))/$C$4))))</f>
        <v>0</v>
      </c>
      <c r="M10" s="98" t="n">
        <f aca="false">IF(OR($H10="Not covered",$H10="Child-only"),0,IF($H10="Full",1,IF($H10="Ancillary",MAX(0.1,MIN(0.5,IF($AM10&lt;&gt;"",$AM10,IF($AQ$7="",0.5*$C$4,$AQ$7))/$C$4)),MIN(0.5,IF($AM10&lt;&gt;"",$AM10,IF($AQ$7="",0.5*$C$4,$AQ$7))/$C$4))))</f>
        <v>0</v>
      </c>
      <c r="N10" s="98" t="n">
        <f aca="false">IF(OR($I10="Not covered",$I10="Child-only"),0,IF($I10="Full",1,IF($I10="Ancillary",MAX(0.1,MIN(0.5,IF($AR$7="",0.5*$C$4,$AR$7)/$C$4)),MIN(0.5,IF($AR$7="",0.5*$C$4,$AR$7)/$C$4))))</f>
        <v>0</v>
      </c>
      <c r="P10" s="1" t="str">
        <f aca="false">IF(O10="","",1-EXP(-O10/100000))</f>
        <v/>
      </c>
      <c r="R10" s="1" t="s">
        <v>1136</v>
      </c>
      <c r="S10" s="1" t="str">
        <f aca="false">IF($P10="","",$P10*J10*$C$4*$C$5)</f>
        <v/>
      </c>
      <c r="T10" s="1" t="str">
        <f aca="false">IF($P10="","",$P10*K10*$C$4*$C$5)</f>
        <v/>
      </c>
      <c r="U10" s="1" t="str">
        <f aca="false">IF($P10="","",$P10*L10*$C$4*$C$5)</f>
        <v/>
      </c>
      <c r="V10" s="1" t="str">
        <f aca="false">IF($P10="","",$P10*M10*$C$4*$C$5)</f>
        <v/>
      </c>
      <c r="W10" s="1" t="str">
        <f aca="false">IF($P10="","",$P10*N10*$C$4*$C$5)</f>
        <v/>
      </c>
      <c r="X10" s="1" t="str">
        <f aca="false">IF(S10="","",S10/$E$7)</f>
        <v/>
      </c>
      <c r="Y10" s="1" t="str">
        <f aca="false">IF(T10="","",T10/$F$7)</f>
        <v/>
      </c>
      <c r="Z10" s="1" t="str">
        <f aca="false">IF(U10="","",U10/$G$7)</f>
        <v/>
      </c>
      <c r="AA10" s="1" t="str">
        <f aca="false">IF(V10="","",V10/$H$7)</f>
        <v/>
      </c>
      <c r="AB10" s="1" t="str">
        <f aca="false">IF(W10="","",W10/$I$7)</f>
        <v/>
      </c>
      <c r="AC10" s="1" t="str">
        <f aca="false">IF(COUNTIF(X10:AB10,"&gt;="&amp;$C$6)&gt;0,"PROMOTE","")</f>
        <v/>
      </c>
      <c r="AD10" s="1" t="str">
        <f aca="false">IF(COUNTIF(Sources_06!$B$33:$B$73,A10)&gt;0,"Y","")</f>
        <v/>
      </c>
      <c r="AE10" s="1" t="str">
        <f aca="false">IF(AD10="Y",MIN(0.5,Sources_06!$D$11/$C$4),"")</f>
        <v/>
      </c>
      <c r="AK10" s="1" t="n">
        <v>15</v>
      </c>
      <c r="AL10" s="1" t="n">
        <v>70440</v>
      </c>
    </row>
    <row r="11" customFormat="false" ht="15" hidden="false" customHeight="true" outlineLevel="0" collapsed="false">
      <c r="A11" s="1" t="n">
        <v>2</v>
      </c>
      <c r="B11" s="1" t="str">
        <f aca="false">Wording_Ranks!B3</f>
        <v>Overseas Surgery Benefit</v>
      </c>
      <c r="C11" s="1" t="str">
        <f aca="false">Wording_Ranks!C3</f>
        <v>Ancillary</v>
      </c>
      <c r="D11" s="1" t="str">
        <f aca="false">Wording_Ranks!D3</f>
        <v>Rare</v>
      </c>
      <c r="E11" s="1" t="str">
        <f aca="false">Wording_Ranks!F3</f>
        <v>Not covered</v>
      </c>
      <c r="F11" s="1" t="str">
        <f aca="false">Wording_Ranks!H3</f>
        <v>Not covered</v>
      </c>
      <c r="G11" s="1" t="str">
        <f aca="false">Wording_Ranks!J3</f>
        <v>Not covered</v>
      </c>
      <c r="H11" s="1" t="str">
        <f aca="false">Wording_Ranks!M3</f>
        <v>Not covered</v>
      </c>
      <c r="I11" s="1" t="str">
        <f aca="false">Wording_Ranks!O3</f>
        <v>Ancillary</v>
      </c>
      <c r="J11" s="98" t="n">
        <f aca="false">IF(OR($E11="Not covered",$E11="Child-only"),0,IF($E11="Full",1,IF($E11="Ancillary",MAX(0.1,MIN(0.5,IF($AN$7="",0.5*$C$4,$AN$7)/$C$4)),MIN(0.5,IF($AN$7="",0.5*$C$4,$AN$7)/$C$4))))</f>
        <v>0</v>
      </c>
      <c r="K11" s="98" t="n">
        <f aca="false">IF(OR($F11="Not covered",$F11="Child-only"),0,IF($F11="Full",1,IF($AD11="Y",$AE11,IF($F11="Ancillary",MAX(0.1,MIN(0.5,IF($AO$7="",0.5*$C$4,$AO$7)/$C$4)),MIN(0.5,IF($AO$7="",0.5*$C$4,$AO$7)/$C$4)))))</f>
        <v>0</v>
      </c>
      <c r="L11" s="98" t="n">
        <f aca="false">IF(OR($G11="Not covered",$G11="Child-only"),0,IF($G11="Full",1,IF($G11="Ancillary",MAX(0.1,MIN(0.5,IF($AS11&lt;&gt;"",$AS11,IF($AP$7="",0.5*$C$4,$AP$7))/$C$4)),MIN(0.5,IF($AS11&lt;&gt;"",$AS11,IF($AP$7="",0.5*$C$4,$AP$7))/$C$4))))</f>
        <v>0</v>
      </c>
      <c r="M11" s="98" t="n">
        <f aca="false">IF(OR($H11="Not covered",$H11="Child-only"),0,IF($H11="Full",1,IF($H11="Ancillary",MAX(0.1,MIN(0.5,IF($AM11&lt;&gt;"",$AM11,IF($AQ$7="",0.5*$C$4,$AQ$7))/$C$4)),MIN(0.5,IF($AM11&lt;&gt;"",$AM11,IF($AQ$7="",0.5*$C$4,$AQ$7))/$C$4))))</f>
        <v>0</v>
      </c>
      <c r="N11" s="98" t="n">
        <f aca="false">IF(OR($I11="Not covered",$I11="Child-only"),0,IF($I11="Full",1,IF($I11="Ancillary",MAX(0.1,MIN(0.5,IF($AR$7="",0.5*$C$4,$AR$7)/$C$4)),MIN(0.5,IF($AR$7="",0.5*$C$4,$AR$7)/$C$4))))</f>
        <v>0.1</v>
      </c>
      <c r="P11" s="1" t="str">
        <f aca="false">IF(O11="","",1-EXP(-O11/100000))</f>
        <v/>
      </c>
      <c r="R11" s="1" t="s">
        <v>1136</v>
      </c>
      <c r="S11" s="1" t="str">
        <f aca="false">IF($P11="","",$P11*J11*$C$4*$C$5)</f>
        <v/>
      </c>
      <c r="T11" s="1" t="str">
        <f aca="false">IF($P11="","",$P11*K11*$C$4*$C$5)</f>
        <v/>
      </c>
      <c r="U11" s="1" t="str">
        <f aca="false">IF($P11="","",$P11*L11*$C$4*$C$5)</f>
        <v/>
      </c>
      <c r="V11" s="1" t="str">
        <f aca="false">IF($P11="","",$P11*M11*$C$4*$C$5)</f>
        <v/>
      </c>
      <c r="W11" s="1" t="str">
        <f aca="false">IF($P11="","",$P11*N11*$C$4*$C$5)</f>
        <v/>
      </c>
      <c r="X11" s="1" t="str">
        <f aca="false">IF(S11="","",S11/$E$7)</f>
        <v/>
      </c>
      <c r="Y11" s="1" t="str">
        <f aca="false">IF(T11="","",T11/$F$7)</f>
        <v/>
      </c>
      <c r="Z11" s="1" t="str">
        <f aca="false">IF(U11="","",U11/$G$7)</f>
        <v/>
      </c>
      <c r="AA11" s="1" t="str">
        <f aca="false">IF(V11="","",V11/$H$7)</f>
        <v/>
      </c>
      <c r="AB11" s="1" t="str">
        <f aca="false">IF(W11="","",W11/$I$7)</f>
        <v/>
      </c>
      <c r="AC11" s="1" t="str">
        <f aca="false">IF(COUNTIF(X11:AB11,"&gt;="&amp;$C$6)&gt;0,"PROMOTE","")</f>
        <v/>
      </c>
      <c r="AD11" s="1" t="str">
        <f aca="false">IF(COUNTIF(Sources_06!$B$33:$B$73,A11)&gt;0,"Y","")</f>
        <v/>
      </c>
      <c r="AE11" s="1" t="str">
        <f aca="false">IF(AD11="Y",MIN(0.5,Sources_06!$D$11/$C$4),"")</f>
        <v/>
      </c>
      <c r="AK11" s="1" t="n">
        <v>16</v>
      </c>
      <c r="AL11" s="1" t="n">
        <v>67814</v>
      </c>
    </row>
    <row r="12" customFormat="false" ht="15" hidden="false" customHeight="true" outlineLevel="0" collapsed="false">
      <c r="A12" s="1" t="n">
        <v>3</v>
      </c>
      <c r="B12" s="1" t="str">
        <f aca="false">Wording_Ranks!B4</f>
        <v>Accidental Death Benefit (Interim)</v>
      </c>
      <c r="C12" s="1" t="str">
        <f aca="false">Wording_Ranks!C4</f>
        <v>Ancillary / Life</v>
      </c>
      <c r="D12" s="1" t="str">
        <f aca="false">Wording_Ranks!D4</f>
        <v>Not primarily illness claim</v>
      </c>
      <c r="E12" s="1" t="str">
        <f aca="false">Wording_Ranks!F4</f>
        <v>Not covered</v>
      </c>
      <c r="F12" s="1" t="str">
        <f aca="false">Wording_Ranks!H4</f>
        <v>Ancillary</v>
      </c>
      <c r="G12" s="1" t="str">
        <f aca="false">Wording_Ranks!J4</f>
        <v>Not covered</v>
      </c>
      <c r="H12" s="1" t="str">
        <f aca="false">Wording_Ranks!M4</f>
        <v>Not covered</v>
      </c>
      <c r="I12" s="1" t="str">
        <f aca="false">Wording_Ranks!O4</f>
        <v>Not covered</v>
      </c>
      <c r="J12" s="98" t="n">
        <f aca="false">IF(OR($E12="Not covered",$E12="Child-only"),0,IF($E12="Full",1,IF($E12="Ancillary",MAX(0.1,MIN(0.5,IF($AN$7="",0.5*$C$4,$AN$7)/$C$4)),MIN(0.5,IF($AN$7="",0.5*$C$4,$AN$7)/$C$4))))</f>
        <v>0</v>
      </c>
      <c r="K12" s="98" t="n">
        <f aca="false">IF(OR($F12="Not covered",$F12="Child-only"),0,IF($F12="Full",1,IF($AD12="Y",$AE12,IF($F12="Ancillary",MAX(0.1,MIN(0.5,IF($AO$7="",0.5*$C$4,$AO$7)/$C$4)),MIN(0.5,IF($AO$7="",0.5*$C$4,$AO$7)/$C$4)))))</f>
        <v>0.1</v>
      </c>
      <c r="L12" s="98" t="n">
        <f aca="false">IF(OR($G12="Not covered",$G12="Child-only"),0,IF($G12="Full",1,IF($G12="Ancillary",MAX(0.1,MIN(0.5,IF($AS12&lt;&gt;"",$AS12,IF($AP$7="",0.5*$C$4,$AP$7))/$C$4)),MIN(0.5,IF($AS12&lt;&gt;"",$AS12,IF($AP$7="",0.5*$C$4,$AP$7))/$C$4))))</f>
        <v>0</v>
      </c>
      <c r="M12" s="98" t="n">
        <f aca="false">IF(OR($H12="Not covered",$H12="Child-only"),0,IF($H12="Full",1,IF($H12="Ancillary",MAX(0.1,MIN(0.5,IF($AM12&lt;&gt;"",$AM12,IF($AQ$7="",0.5*$C$4,$AQ$7))/$C$4)),MIN(0.5,IF($AM12&lt;&gt;"",$AM12,IF($AQ$7="",0.5*$C$4,$AQ$7))/$C$4))))</f>
        <v>0</v>
      </c>
      <c r="N12" s="98" t="n">
        <f aca="false">IF(OR($I12="Not covered",$I12="Child-only"),0,IF($I12="Full",1,IF($I12="Ancillary",MAX(0.1,MIN(0.5,IF($AR$7="",0.5*$C$4,$AR$7)/$C$4)),MIN(0.5,IF($AR$7="",0.5*$C$4,$AR$7)/$C$4))))</f>
        <v>0</v>
      </c>
      <c r="P12" s="1" t="str">
        <f aca="false">IF(O12="","",1-EXP(-O12/100000))</f>
        <v/>
      </c>
      <c r="R12" s="1" t="s">
        <v>1136</v>
      </c>
      <c r="S12" s="1" t="str">
        <f aca="false">IF($P12="","",$P12*J12*$C$4*$C$5)</f>
        <v/>
      </c>
      <c r="T12" s="1" t="str">
        <f aca="false">IF($P12="","",$P12*K12*$C$4*$C$5)</f>
        <v/>
      </c>
      <c r="U12" s="1" t="str">
        <f aca="false">IF($P12="","",$P12*L12*$C$4*$C$5)</f>
        <v/>
      </c>
      <c r="V12" s="1" t="str">
        <f aca="false">IF($P12="","",$P12*M12*$C$4*$C$5)</f>
        <v/>
      </c>
      <c r="W12" s="1" t="str">
        <f aca="false">IF($P12="","",$P12*N12*$C$4*$C$5)</f>
        <v/>
      </c>
      <c r="X12" s="1" t="str">
        <f aca="false">IF(S12="","",S12/$E$7)</f>
        <v/>
      </c>
      <c r="Y12" s="1" t="str">
        <f aca="false">IF(T12="","",T12/$F$7)</f>
        <v/>
      </c>
      <c r="Z12" s="1" t="str">
        <f aca="false">IF(U12="","",U12/$G$7)</f>
        <v/>
      </c>
      <c r="AA12" s="1" t="str">
        <f aca="false">IF(V12="","",V12/$H$7)</f>
        <v/>
      </c>
      <c r="AB12" s="1" t="str">
        <f aca="false">IF(W12="","",W12/$I$7)</f>
        <v/>
      </c>
      <c r="AC12" s="1" t="str">
        <f aca="false">IF(COUNTIF(X12:AB12,"&gt;="&amp;$C$6)&gt;0,"PROMOTE","")</f>
        <v/>
      </c>
      <c r="AD12" s="1" t="str">
        <f aca="false">IF(COUNTIF(Sources_06!$B$33:$B$73,A12)&gt;0,"Y","")</f>
        <v/>
      </c>
      <c r="AE12" s="1" t="str">
        <f aca="false">IF(AD12="Y",MIN(0.5,Sources_06!$D$11/$C$4),"")</f>
        <v/>
      </c>
      <c r="AK12" s="1" t="n">
        <v>17</v>
      </c>
      <c r="AL12" s="1" t="n">
        <v>68026</v>
      </c>
    </row>
    <row r="13" customFormat="false" ht="15" hidden="false" customHeight="true" outlineLevel="0" collapsed="false">
      <c r="A13" s="1" t="n">
        <v>4</v>
      </c>
      <c r="B13" s="1" t="str">
        <f aca="false">Wording_Ranks!B5</f>
        <v>Terminal Illness Early Payment (Life Cover)</v>
      </c>
      <c r="C13" s="1" t="str">
        <f aca="false">Wording_Ranks!C5</f>
        <v>Ancillary / Life</v>
      </c>
      <c r="D13" s="1" t="str">
        <f aca="false">Wording_Ranks!D5</f>
        <v>Medium</v>
      </c>
      <c r="E13" s="1" t="str">
        <f aca="false">Wording_Ranks!F5</f>
        <v>Ancillary</v>
      </c>
      <c r="F13" s="1" t="str">
        <f aca="false">Wording_Ranks!H5</f>
        <v>Ancillary</v>
      </c>
      <c r="G13" s="1" t="str">
        <f aca="false">Wording_Ranks!J5</f>
        <v>Not covered</v>
      </c>
      <c r="H13" s="1" t="str">
        <f aca="false">Wording_Ranks!M5</f>
        <v>Ancillary</v>
      </c>
      <c r="I13" s="1" t="str">
        <f aca="false">Wording_Ranks!O5</f>
        <v>Ancillary</v>
      </c>
      <c r="J13" s="98" t="n">
        <f aca="false">IF(OR($E13="Not covered",$E13="Child-only"),0,IF($E13="Full",1,IF($E13="Ancillary",MAX(0.1,MIN(0.5,IF($AN$7="",0.5*$C$4,$AN$7)/$C$4)),MIN(0.5,IF($AN$7="",0.5*$C$4,$AN$7)/$C$4))))</f>
        <v>0.124223602484472</v>
      </c>
      <c r="K13" s="98" t="n">
        <f aca="false">IF(OR($F13="Not covered",$F13="Child-only"),0,IF($F13="Full",1,IF($AD13="Y",$AE13,IF($F13="Ancillary",MAX(0.1,MIN(0.5,IF($AO$7="",0.5*$C$4,$AO$7)/$C$4)),MIN(0.5,IF($AO$7="",0.5*$C$4,$AO$7)/$C$4)))))</f>
        <v>0.1</v>
      </c>
      <c r="L13" s="98" t="n">
        <f aca="false">IF(OR($G13="Not covered",$G13="Child-only"),0,IF($G13="Full",1,IF($G13="Ancillary",MAX(0.1,MIN(0.5,IF($AS13&lt;&gt;"",$AS13,IF($AP$7="",0.5*$C$4,$AP$7))/$C$4)),MIN(0.5,IF($AS13&lt;&gt;"",$AS13,IF($AP$7="",0.5*$C$4,$AP$7))/$C$4))))</f>
        <v>0</v>
      </c>
      <c r="M13" s="98" t="n">
        <f aca="false">IF(OR($H13="Not covered",$H13="Child-only"),0,IF($H13="Full",1,IF($H13="Ancillary",MAX(0.1,MIN(0.5,IF($AM13&lt;&gt;"",$AM13,IF($AQ$7="",0.5*$C$4,$AQ$7))/$C$4)),MIN(0.5,IF($AM13&lt;&gt;"",$AM13,IF($AQ$7="",0.5*$C$4,$AQ$7))/$C$4))))</f>
        <v>0.1</v>
      </c>
      <c r="N13" s="98" t="n">
        <f aca="false">IF(OR($I13="Not covered",$I13="Child-only"),0,IF($I13="Full",1,IF($I13="Ancillary",MAX(0.1,MIN(0.5,IF($AR$7="",0.5*$C$4,$AR$7)/$C$4)),MIN(0.5,IF($AR$7="",0.5*$C$4,$AR$7)/$C$4))))</f>
        <v>0.1</v>
      </c>
      <c r="P13" s="1" t="str">
        <f aca="false">IF(O13="","",1-EXP(-O13/100000))</f>
        <v/>
      </c>
      <c r="R13" s="1" t="s">
        <v>1136</v>
      </c>
      <c r="S13" s="1" t="str">
        <f aca="false">IF($P13="","",$P13*J13*$C$4*$C$5)</f>
        <v/>
      </c>
      <c r="T13" s="1" t="str">
        <f aca="false">IF($P13="","",$P13*K13*$C$4*$C$5)</f>
        <v/>
      </c>
      <c r="U13" s="1" t="str">
        <f aca="false">IF($P13="","",$P13*L13*$C$4*$C$5)</f>
        <v/>
      </c>
      <c r="V13" s="1" t="str">
        <f aca="false">IF($P13="","",$P13*M13*$C$4*$C$5)</f>
        <v/>
      </c>
      <c r="W13" s="1" t="str">
        <f aca="false">IF($P13="","",$P13*N13*$C$4*$C$5)</f>
        <v/>
      </c>
      <c r="X13" s="1" t="str">
        <f aca="false">IF(S13="","",S13/$E$7)</f>
        <v/>
      </c>
      <c r="Y13" s="1" t="str">
        <f aca="false">IF(T13="","",T13/$F$7)</f>
        <v/>
      </c>
      <c r="Z13" s="1" t="str">
        <f aca="false">IF(U13="","",U13/$G$7)</f>
        <v/>
      </c>
      <c r="AA13" s="1" t="str">
        <f aca="false">IF(V13="","",V13/$H$7)</f>
        <v/>
      </c>
      <c r="AB13" s="1" t="str">
        <f aca="false">IF(W13="","",W13/$I$7)</f>
        <v/>
      </c>
      <c r="AC13" s="1" t="str">
        <f aca="false">IF(COUNTIF(X13:AB13,"&gt;="&amp;$C$6)&gt;0,"PROMOTE","")</f>
        <v/>
      </c>
      <c r="AD13" s="1" t="str">
        <f aca="false">IF(COUNTIF(Sources_06!$B$33:$B$73,A13)&gt;0,"Y","")</f>
        <v/>
      </c>
      <c r="AE13" s="1" t="str">
        <f aca="false">IF(AD13="Y",MIN(0.5,Sources_06!$D$11/$C$4),"")</f>
        <v/>
      </c>
      <c r="AK13" s="1" t="n">
        <v>18</v>
      </c>
      <c r="AL13" s="1" t="n">
        <v>66752</v>
      </c>
    </row>
    <row r="14" customFormat="false" ht="15" hidden="false" customHeight="true" outlineLevel="0" collapsed="false">
      <c r="A14" s="1" t="n">
        <v>5</v>
      </c>
      <c r="B14" s="1" t="str">
        <f aca="false">Wording_Ranks!B6</f>
        <v>Waiting List / Pre-Surgery Pre-Payment Benefit</v>
      </c>
      <c r="C14" s="1" t="str">
        <f aca="false">Wording_Ranks!C6</f>
        <v>Ancillary / Surgery</v>
      </c>
      <c r="D14" s="1" t="str">
        <f aca="false">Wording_Ranks!D6</f>
        <v>Low</v>
      </c>
      <c r="E14" s="1" t="str">
        <f aca="false">Wording_Ranks!F6</f>
        <v>Not covered</v>
      </c>
      <c r="F14" s="1" t="str">
        <f aca="false">Wording_Ranks!H6</f>
        <v>Ancillary</v>
      </c>
      <c r="G14" s="1" t="str">
        <f aca="false">Wording_Ranks!J6</f>
        <v>Ancillary</v>
      </c>
      <c r="H14" s="1" t="str">
        <f aca="false">Wording_Ranks!M6</f>
        <v>Not covered</v>
      </c>
      <c r="I14" s="1" t="str">
        <f aca="false">Wording_Ranks!O6</f>
        <v>Ancillary</v>
      </c>
      <c r="J14" s="98" t="n">
        <f aca="false">IF(OR($E14="Not covered",$E14="Child-only"),0,IF($E14="Full",1,IF($E14="Ancillary",MAX(0.1,MIN(0.5,IF($AN$7="",0.5*$C$4,$AN$7)/$C$4)),MIN(0.5,IF($AN$7="",0.5*$C$4,$AN$7)/$C$4))))</f>
        <v>0</v>
      </c>
      <c r="K14" s="98" t="n">
        <f aca="false">IF(OR($F14="Not covered",$F14="Child-only"),0,IF($F14="Full",1,IF($AD14="Y",$AE14,IF($F14="Ancillary",MAX(0.1,MIN(0.5,IF($AO$7="",0.5*$C$4,$AO$7)/$C$4)),MIN(0.5,IF($AO$7="",0.5*$C$4,$AO$7)/$C$4)))))</f>
        <v>0.1</v>
      </c>
      <c r="L14" s="98" t="n">
        <f aca="false">IF(OR($G14="Not covered",$G14="Child-only"),0,IF($G14="Full",1,IF($G14="Ancillary",MAX(0.1,MIN(0.5,IF($AS14&lt;&gt;"",$AS14,IF($AP$7="",0.5*$C$4,$AP$7))/$C$4)),MIN(0.5,IF($AS14&lt;&gt;"",$AS14,IF($AP$7="",0.5*$C$4,$AP$7))/$C$4))))</f>
        <v>0.1</v>
      </c>
      <c r="M14" s="98" t="n">
        <f aca="false">IF(OR($H14="Not covered",$H14="Child-only"),0,IF($H14="Full",1,IF($H14="Ancillary",MAX(0.1,MIN(0.5,IF($AM14&lt;&gt;"",$AM14,IF($AQ$7="",0.5*$C$4,$AQ$7))/$C$4)),MIN(0.5,IF($AM14&lt;&gt;"",$AM14,IF($AQ$7="",0.5*$C$4,$AQ$7))/$C$4))))</f>
        <v>0</v>
      </c>
      <c r="N14" s="98" t="n">
        <f aca="false">IF(OR($I14="Not covered",$I14="Child-only"),0,IF($I14="Full",1,IF($I14="Ancillary",MAX(0.1,MIN(0.5,IF($AR$7="",0.5*$C$4,$AR$7)/$C$4)),MIN(0.5,IF($AR$7="",0.5*$C$4,$AR$7)/$C$4))))</f>
        <v>0.1</v>
      </c>
      <c r="P14" s="1" t="str">
        <f aca="false">IF(O14="","",1-EXP(-O14/100000))</f>
        <v/>
      </c>
      <c r="R14" s="1" t="s">
        <v>1136</v>
      </c>
      <c r="S14" s="1" t="str">
        <f aca="false">IF($P14="","",$P14*J14*$C$4*$C$5)</f>
        <v/>
      </c>
      <c r="T14" s="1" t="str">
        <f aca="false">IF($P14="","",$P14*K14*$C$4*$C$5)</f>
        <v/>
      </c>
      <c r="U14" s="1" t="str">
        <f aca="false">IF($P14="","",$P14*L14*$C$4*$C$5)</f>
        <v/>
      </c>
      <c r="V14" s="1" t="str">
        <f aca="false">IF($P14="","",$P14*M14*$C$4*$C$5)</f>
        <v/>
      </c>
      <c r="W14" s="1" t="str">
        <f aca="false">IF($P14="","",$P14*N14*$C$4*$C$5)</f>
        <v/>
      </c>
      <c r="X14" s="1" t="str">
        <f aca="false">IF(S14="","",S14/$E$7)</f>
        <v/>
      </c>
      <c r="Y14" s="1" t="str">
        <f aca="false">IF(T14="","",T14/$F$7)</f>
        <v/>
      </c>
      <c r="Z14" s="1" t="str">
        <f aca="false">IF(U14="","",U14/$G$7)</f>
        <v/>
      </c>
      <c r="AA14" s="1" t="str">
        <f aca="false">IF(V14="","",V14/$H$7)</f>
        <v/>
      </c>
      <c r="AB14" s="1" t="str">
        <f aca="false">IF(W14="","",W14/$I$7)</f>
        <v/>
      </c>
      <c r="AC14" s="1" t="str">
        <f aca="false">IF(COUNTIF(X14:AB14,"&gt;="&amp;$C$6)&gt;0,"PROMOTE","")</f>
        <v/>
      </c>
      <c r="AD14" s="1" t="str">
        <f aca="false">IF(COUNTIF(Sources_06!$B$33:$B$73,A14)&gt;0,"Y","")</f>
        <v/>
      </c>
      <c r="AE14" s="1" t="str">
        <f aca="false">IF(AD14="Y",MIN(0.5,Sources_06!$D$11/$C$4),"")</f>
        <v/>
      </c>
      <c r="AK14" s="1" t="n">
        <v>19</v>
      </c>
      <c r="AL14" s="1" t="n">
        <v>64596</v>
      </c>
    </row>
    <row r="15" customFormat="false" ht="15" hidden="false" customHeight="true" outlineLevel="0" collapsed="false">
      <c r="A15" s="1" t="n">
        <v>6</v>
      </c>
      <c r="B15" s="1" t="str">
        <f aca="false">Wording_Ranks!B7</f>
        <v>Accident Cash Cover – Qualifying Injuries</v>
      </c>
      <c r="C15" s="1" t="str">
        <f aca="false">Wording_Ranks!C7</f>
        <v>Ancillary / Trauma</v>
      </c>
      <c r="D15" s="1" t="str">
        <f aca="false">Wording_Ranks!D7</f>
        <v>Low</v>
      </c>
      <c r="E15" s="1" t="str">
        <f aca="false">Wording_Ranks!F7</f>
        <v>Not covered</v>
      </c>
      <c r="F15" s="1" t="str">
        <f aca="false">Wording_Ranks!H7</f>
        <v>Ancillary</v>
      </c>
      <c r="G15" s="1" t="str">
        <f aca="false">Wording_Ranks!J7</f>
        <v>Not covered</v>
      </c>
      <c r="H15" s="1" t="str">
        <f aca="false">Wording_Ranks!M7</f>
        <v>Not covered</v>
      </c>
      <c r="I15" s="1" t="str">
        <f aca="false">Wording_Ranks!O7</f>
        <v>Not covered</v>
      </c>
      <c r="J15" s="98" t="n">
        <f aca="false">IF(OR($E15="Not covered",$E15="Child-only"),0,IF($E15="Full",1,IF($E15="Ancillary",MAX(0.1,MIN(0.5,IF($AN$7="",0.5*$C$4,$AN$7)/$C$4)),MIN(0.5,IF($AN$7="",0.5*$C$4,$AN$7)/$C$4))))</f>
        <v>0</v>
      </c>
      <c r="K15" s="98" t="n">
        <f aca="false">IF(OR($F15="Not covered",$F15="Child-only"),0,IF($F15="Full",1,IF($AD15="Y",$AE15,IF($F15="Ancillary",MAX(0.1,MIN(0.5,IF($AO$7="",0.5*$C$4,$AO$7)/$C$4)),MIN(0.5,IF($AO$7="",0.5*$C$4,$AO$7)/$C$4)))))</f>
        <v>0.1</v>
      </c>
      <c r="L15" s="98" t="n">
        <f aca="false">IF(OR($G15="Not covered",$G15="Child-only"),0,IF($G15="Full",1,IF($G15="Ancillary",MAX(0.1,MIN(0.5,IF($AS15&lt;&gt;"",$AS15,IF($AP$7="",0.5*$C$4,$AP$7))/$C$4)),MIN(0.5,IF($AS15&lt;&gt;"",$AS15,IF($AP$7="",0.5*$C$4,$AP$7))/$C$4))))</f>
        <v>0</v>
      </c>
      <c r="M15" s="98" t="n">
        <f aca="false">IF(OR($H15="Not covered",$H15="Child-only"),0,IF($H15="Full",1,IF($H15="Ancillary",MAX(0.1,MIN(0.5,IF($AM15&lt;&gt;"",$AM15,IF($AQ$7="",0.5*$C$4,$AQ$7))/$C$4)),MIN(0.5,IF($AM15&lt;&gt;"",$AM15,IF($AQ$7="",0.5*$C$4,$AQ$7))/$C$4))))</f>
        <v>0</v>
      </c>
      <c r="N15" s="98" t="n">
        <f aca="false">IF(OR($I15="Not covered",$I15="Child-only"),0,IF($I15="Full",1,IF($I15="Ancillary",MAX(0.1,MIN(0.5,IF($AR$7="",0.5*$C$4,$AR$7)/$C$4)),MIN(0.5,IF($AR$7="",0.5*$C$4,$AR$7)/$C$4))))</f>
        <v>0</v>
      </c>
      <c r="P15" s="1" t="str">
        <f aca="false">IF(O15="","",1-EXP(-O15/100000))</f>
        <v/>
      </c>
      <c r="R15" s="1" t="s">
        <v>1136</v>
      </c>
      <c r="S15" s="1" t="str">
        <f aca="false">IF($P15="","",$P15*J15*$C$4*$C$5)</f>
        <v/>
      </c>
      <c r="T15" s="1" t="str">
        <f aca="false">IF($P15="","",$P15*K15*$C$4*$C$5)</f>
        <v/>
      </c>
      <c r="U15" s="1" t="str">
        <f aca="false">IF($P15="","",$P15*L15*$C$4*$C$5)</f>
        <v/>
      </c>
      <c r="V15" s="1" t="str">
        <f aca="false">IF($P15="","",$P15*M15*$C$4*$C$5)</f>
        <v/>
      </c>
      <c r="W15" s="1" t="str">
        <f aca="false">IF($P15="","",$P15*N15*$C$4*$C$5)</f>
        <v/>
      </c>
      <c r="X15" s="1" t="str">
        <f aca="false">IF(S15="","",S15/$E$7)</f>
        <v/>
      </c>
      <c r="Y15" s="1" t="str">
        <f aca="false">IF(T15="","",T15/$F$7)</f>
        <v/>
      </c>
      <c r="Z15" s="1" t="str">
        <f aca="false">IF(U15="","",U15/$G$7)</f>
        <v/>
      </c>
      <c r="AA15" s="1" t="str">
        <f aca="false">IF(V15="","",V15/$H$7)</f>
        <v/>
      </c>
      <c r="AB15" s="1" t="str">
        <f aca="false">IF(W15="","",W15/$I$7)</f>
        <v/>
      </c>
      <c r="AC15" s="1" t="str">
        <f aca="false">IF(COUNTIF(X15:AB15,"&gt;="&amp;$C$6)&gt;0,"PROMOTE","")</f>
        <v/>
      </c>
      <c r="AD15" s="1" t="str">
        <f aca="false">IF(COUNTIF(Sources_06!$B$33:$B$73,A15)&gt;0,"Y","")</f>
        <v/>
      </c>
      <c r="AE15" s="1" t="str">
        <f aca="false">IF(AD15="Y",MIN(0.5,Sources_06!$D$11/$C$4),"")</f>
        <v/>
      </c>
      <c r="AK15" s="1" t="n">
        <v>20</v>
      </c>
      <c r="AL15" s="1" t="n">
        <v>63744</v>
      </c>
    </row>
    <row r="16" customFormat="false" ht="15" hidden="false" customHeight="true" outlineLevel="0" collapsed="false">
      <c r="A16" s="1" t="n">
        <v>7</v>
      </c>
      <c r="B16" s="1" t="str">
        <f aca="false">Wording_Ranks!B8</f>
        <v>Serious Accident Cover (28+ days hospital)</v>
      </c>
      <c r="C16" s="1" t="str">
        <f aca="false">Wording_Ranks!C8</f>
        <v>Ancillary / Trauma</v>
      </c>
      <c r="D16" s="1" t="str">
        <f aca="false">Wording_Ranks!D8</f>
        <v>Low</v>
      </c>
      <c r="E16" s="1" t="str">
        <f aca="false">Wording_Ranks!F8</f>
        <v>Partial</v>
      </c>
      <c r="F16" s="1" t="str">
        <f aca="false">Wording_Ranks!H8</f>
        <v>Partial</v>
      </c>
      <c r="G16" s="1" t="str">
        <f aca="false">Wording_Ranks!J8</f>
        <v>Partial</v>
      </c>
      <c r="H16" s="1" t="str">
        <f aca="false">Wording_Ranks!M8</f>
        <v>Partial</v>
      </c>
      <c r="I16" s="1" t="str">
        <f aca="false">Wording_Ranks!O8</f>
        <v>Partial</v>
      </c>
      <c r="J16" s="98" t="n">
        <f aca="false">IF(OR($E16="Not covered",$E16="Child-only"),0,IF($E16="Full",1,IF($E16="Ancillary",MAX(0.1,MIN(0.5,IF($AN$7="",0.5*$C$4,$AN$7)/$C$4)),MIN(0.5,IF($AN$7="",0.5*$C$4,$AN$7)/$C$4))))</f>
        <v>0.124223602484472</v>
      </c>
      <c r="K16" s="98" t="n">
        <f aca="false">IF(OR($F16="Not covered",$F16="Child-only"),0,IF($F16="Full",1,IF($AD16="Y",$AE16,IF($F16="Ancillary",MAX(0.1,MIN(0.5,IF($AO$7="",0.5*$C$4,$AO$7)/$C$4)),MIN(0.5,IF($AO$7="",0.5*$C$4,$AO$7)/$C$4)))))</f>
        <v>0.093167701863354</v>
      </c>
      <c r="L16" s="98" t="n">
        <f aca="false">IF(OR($G16="Not covered",$G16="Child-only"),0,IF($G16="Full",1,IF($G16="Ancillary",MAX(0.1,MIN(0.5,IF($AS16&lt;&gt;"",$AS16,IF($AP$7="",0.5*$C$4,$AP$7))/$C$4)),MIN(0.5,IF($AS16&lt;&gt;"",$AS16,IF($AP$7="",0.5*$C$4,$AP$7))/$C$4))))</f>
        <v>0.093167701863354</v>
      </c>
      <c r="M16" s="98" t="n">
        <f aca="false">IF(OR($H16="Not covered",$H16="Child-only"),0,IF($H16="Full",1,IF($H16="Ancillary",MAX(0.1,MIN(0.5,IF($AM16&lt;&gt;"",$AM16,IF($AQ$7="",0.5*$C$4,$AQ$7))/$C$4)),MIN(0.5,IF($AM16&lt;&gt;"",$AM16,IF($AQ$7="",0.5*$C$4,$AQ$7))/$C$4))))</f>
        <v>0.093167701863354</v>
      </c>
      <c r="N16" s="98" t="n">
        <f aca="false">IF(OR($I16="Not covered",$I16="Child-only"),0,IF($I16="Full",1,IF($I16="Ancillary",MAX(0.1,MIN(0.5,IF($AR$7="",0.5*$C$4,$AR$7)/$C$4)),MIN(0.5,IF($AR$7="",0.5*$C$4,$AR$7)/$C$4))))</f>
        <v>0.093167701863354</v>
      </c>
      <c r="P16" s="1" t="str">
        <f aca="false">IF(O16="","",1-EXP(-O16/100000))</f>
        <v/>
      </c>
      <c r="R16" s="1" t="s">
        <v>1136</v>
      </c>
      <c r="S16" s="1" t="str">
        <f aca="false">IF($P16="","",$P16*J16*$C$4*$C$5)</f>
        <v/>
      </c>
      <c r="T16" s="1" t="str">
        <f aca="false">IF($P16="","",$P16*K16*$C$4*$C$5)</f>
        <v/>
      </c>
      <c r="U16" s="1" t="str">
        <f aca="false">IF($P16="","",$P16*L16*$C$4*$C$5)</f>
        <v/>
      </c>
      <c r="V16" s="1" t="str">
        <f aca="false">IF($P16="","",$P16*M16*$C$4*$C$5)</f>
        <v/>
      </c>
      <c r="W16" s="1" t="str">
        <f aca="false">IF($P16="","",$P16*N16*$C$4*$C$5)</f>
        <v/>
      </c>
      <c r="X16" s="1" t="str">
        <f aca="false">IF(S16="","",S16/$E$7)</f>
        <v/>
      </c>
      <c r="Y16" s="1" t="str">
        <f aca="false">IF(T16="","",T16/$F$7)</f>
        <v/>
      </c>
      <c r="Z16" s="1" t="str">
        <f aca="false">IF(U16="","",U16/$G$7)</f>
        <v/>
      </c>
      <c r="AA16" s="1" t="str">
        <f aca="false">IF(V16="","",V16/$H$7)</f>
        <v/>
      </c>
      <c r="AB16" s="1" t="str">
        <f aca="false">IF(W16="","",W16/$I$7)</f>
        <v/>
      </c>
      <c r="AC16" s="1" t="str">
        <f aca="false">IF(COUNTIF(X16:AB16,"&gt;="&amp;$C$6)&gt;0,"PROMOTE","")</f>
        <v/>
      </c>
      <c r="AD16" s="1" t="str">
        <f aca="false">IF(COUNTIF(Sources_06!$B$33:$B$73,A16)&gt;0,"Y","")</f>
        <v>Y</v>
      </c>
      <c r="AE16" s="1" t="n">
        <f aca="false">IF(AD16="Y",MIN(0.5,Sources_06!$D$11/$C$4),"")</f>
        <v>0.093167701863354</v>
      </c>
      <c r="AK16" s="1" t="n">
        <v>21</v>
      </c>
      <c r="AL16" s="1" t="n">
        <v>60661</v>
      </c>
    </row>
    <row r="17" customFormat="false" ht="15" hidden="false" customHeight="true" outlineLevel="0" collapsed="false">
      <c r="A17" s="1" t="n">
        <v>8</v>
      </c>
      <c r="B17" s="1" t="str">
        <f aca="false">Wording_Ranks!B9</f>
        <v>Systemic Lupus Erythematosus (SLE) – with Severe Complications</v>
      </c>
      <c r="C17" s="1" t="str">
        <f aca="false">Wording_Ranks!C9</f>
        <v>Autoimmune</v>
      </c>
      <c r="D17" s="1" t="str">
        <f aca="false">Wording_Ranks!D9</f>
        <v>Low</v>
      </c>
      <c r="E17" s="1" t="str">
        <f aca="false">Wording_Ranks!F9</f>
        <v>Full</v>
      </c>
      <c r="F17" s="1" t="str">
        <f aca="false">Wording_Ranks!H9</f>
        <v>Full</v>
      </c>
      <c r="G17" s="1" t="str">
        <f aca="false">Wording_Ranks!J9</f>
        <v>Full</v>
      </c>
      <c r="H17" s="1" t="str">
        <f aca="false">Wording_Ranks!M9</f>
        <v>Full</v>
      </c>
      <c r="I17" s="1" t="str">
        <f aca="false">Wording_Ranks!O9</f>
        <v>Full</v>
      </c>
      <c r="J17" s="98" t="n">
        <f aca="false">IF(OR($E17="Not covered",$E17="Child-only"),0,IF($E17="Full",1,IF($E17="Ancillary",MAX(0.1,MIN(0.5,IF($AN$7="",0.5*$C$4,$AN$7)/$C$4)),MIN(0.5,IF($AN$7="",0.5*$C$4,$AN$7)/$C$4))))</f>
        <v>1</v>
      </c>
      <c r="K17" s="98" t="n">
        <f aca="false">IF(OR($F17="Not covered",$F17="Child-only"),0,IF($F17="Full",1,IF($AD17="Y",$AE17,IF($F17="Ancillary",MAX(0.1,MIN(0.5,IF($AO$7="",0.5*$C$4,$AO$7)/$C$4)),MIN(0.5,IF($AO$7="",0.5*$C$4,$AO$7)/$C$4)))))</f>
        <v>1</v>
      </c>
      <c r="L17" s="98" t="n">
        <f aca="false">IF(OR($G17="Not covered",$G17="Child-only"),0,IF($G17="Full",1,IF($G17="Ancillary",MAX(0.1,MIN(0.5,IF($AS17&lt;&gt;"",$AS17,IF($AP$7="",0.5*$C$4,$AP$7))/$C$4)),MIN(0.5,IF($AS17&lt;&gt;"",$AS17,IF($AP$7="",0.5*$C$4,$AP$7))/$C$4))))</f>
        <v>1</v>
      </c>
      <c r="M17" s="98" t="n">
        <f aca="false">IF(OR($H17="Not covered",$H17="Child-only"),0,IF($H17="Full",1,IF($H17="Ancillary",MAX(0.1,MIN(0.5,IF($AM17&lt;&gt;"",$AM17,IF($AQ$7="",0.5*$C$4,$AQ$7))/$C$4)),MIN(0.5,IF($AM17&lt;&gt;"",$AM17,IF($AQ$7="",0.5*$C$4,$AQ$7))/$C$4))))</f>
        <v>1</v>
      </c>
      <c r="N17" s="98" t="n">
        <f aca="false">IF(OR($I17="Not covered",$I17="Child-only"),0,IF($I17="Full",1,IF($I17="Ancillary",MAX(0.1,MIN(0.5,IF($AR$7="",0.5*$C$4,$AR$7)/$C$4)),MIN(0.5,IF($AR$7="",0.5*$C$4,$AR$7)/$C$4))))</f>
        <v>1</v>
      </c>
      <c r="P17" s="1" t="str">
        <f aca="false">IF(O17="","",1-EXP(-O17/100000))</f>
        <v/>
      </c>
      <c r="R17" s="1" t="s">
        <v>822</v>
      </c>
      <c r="S17" s="1" t="str">
        <f aca="false">IF($P17="","",$P17*J17*$C$4*$C$5)</f>
        <v/>
      </c>
      <c r="T17" s="1" t="str">
        <f aca="false">IF($P17="","",$P17*K17*$C$4*$C$5)</f>
        <v/>
      </c>
      <c r="U17" s="1" t="str">
        <f aca="false">IF($P17="","",$P17*L17*$C$4*$C$5)</f>
        <v/>
      </c>
      <c r="V17" s="1" t="str">
        <f aca="false">IF($P17="","",$P17*M17*$C$4*$C$5)</f>
        <v/>
      </c>
      <c r="W17" s="1" t="str">
        <f aca="false">IF($P17="","",$P17*N17*$C$4*$C$5)</f>
        <v/>
      </c>
      <c r="X17" s="1" t="str">
        <f aca="false">IF(S17="","",S17/$E$7)</f>
        <v/>
      </c>
      <c r="Y17" s="1" t="str">
        <f aca="false">IF(T17="","",T17/$F$7)</f>
        <v/>
      </c>
      <c r="Z17" s="1" t="str">
        <f aca="false">IF(U17="","",U17/$G$7)</f>
        <v/>
      </c>
      <c r="AA17" s="1" t="str">
        <f aca="false">IF(V17="","",V17/$H$7)</f>
        <v/>
      </c>
      <c r="AB17" s="1" t="str">
        <f aca="false">IF(W17="","",W17/$I$7)</f>
        <v/>
      </c>
      <c r="AC17" s="1" t="str">
        <f aca="false">IF(COUNTIF(X17:AB17,"&gt;="&amp;$C$6)&gt;0,"PROMOTE","")</f>
        <v/>
      </c>
      <c r="AD17" s="1" t="str">
        <f aca="false">IF(COUNTIF(Sources_06!$B$33:$B$73,A17)&gt;0,"Y","")</f>
        <v/>
      </c>
      <c r="AE17" s="1" t="str">
        <f aca="false">IF(AD17="Y",MIN(0.5,Sources_06!$D$11/$C$4),"")</f>
        <v/>
      </c>
      <c r="AK17" s="1" t="n">
        <v>22</v>
      </c>
      <c r="AL17" s="1" t="n">
        <v>62218</v>
      </c>
    </row>
    <row r="18" customFormat="false" ht="15" hidden="false" customHeight="true" outlineLevel="0" collapsed="false">
      <c r="A18" s="1" t="n">
        <v>9</v>
      </c>
      <c r="B18" s="1" t="str">
        <f aca="false">Wording_Ranks!B10</f>
        <v>Chronic / Severe Rheumatoid Arthritis</v>
      </c>
      <c r="C18" s="1" t="str">
        <f aca="false">Wording_Ranks!C10</f>
        <v>Autoimmune / Musculoskeletal</v>
      </c>
      <c r="D18" s="1" t="str">
        <f aca="false">Wording_Ranks!D10</f>
        <v>Low</v>
      </c>
      <c r="E18" s="1" t="str">
        <f aca="false">Wording_Ranks!F10</f>
        <v>Not covered</v>
      </c>
      <c r="F18" s="1" t="str">
        <f aca="false">Wording_Ranks!H10</f>
        <v>Not covered</v>
      </c>
      <c r="G18" s="1" t="str">
        <f aca="false">Wording_Ranks!J10</f>
        <v>Not covered</v>
      </c>
      <c r="H18" s="1" t="str">
        <f aca="false">Wording_Ranks!M10</f>
        <v>Full</v>
      </c>
      <c r="I18" s="1" t="str">
        <f aca="false">Wording_Ranks!O10</f>
        <v>Not covered</v>
      </c>
      <c r="J18" s="98" t="n">
        <f aca="false">IF(OR($E18="Not covered",$E18="Child-only"),0,IF($E18="Full",1,IF($E18="Ancillary",MAX(0.1,MIN(0.5,IF($AN$7="",0.5*$C$4,$AN$7)/$C$4)),MIN(0.5,IF($AN$7="",0.5*$C$4,$AN$7)/$C$4))))</f>
        <v>0</v>
      </c>
      <c r="K18" s="98" t="n">
        <f aca="false">IF(OR($F18="Not covered",$F18="Child-only"),0,IF($F18="Full",1,IF($AD18="Y",$AE18,IF($F18="Ancillary",MAX(0.1,MIN(0.5,IF($AO$7="",0.5*$C$4,$AO$7)/$C$4)),MIN(0.5,IF($AO$7="",0.5*$C$4,$AO$7)/$C$4)))))</f>
        <v>0</v>
      </c>
      <c r="L18" s="98" t="n">
        <f aca="false">IF(OR($G18="Not covered",$G18="Child-only"),0,IF($G18="Full",1,IF($G18="Ancillary",MAX(0.1,MIN(0.5,IF($AS18&lt;&gt;"",$AS18,IF($AP$7="",0.5*$C$4,$AP$7))/$C$4)),MIN(0.5,IF($AS18&lt;&gt;"",$AS18,IF($AP$7="",0.5*$C$4,$AP$7))/$C$4))))</f>
        <v>0</v>
      </c>
      <c r="M18" s="98" t="n">
        <f aca="false">IF(OR($H18="Not covered",$H18="Child-only"),0,IF($H18="Full",1,IF($H18="Ancillary",MAX(0.1,MIN(0.5,IF($AM18&lt;&gt;"",$AM18,IF($AQ$7="",0.5*$C$4,$AQ$7))/$C$4)),MIN(0.5,IF($AM18&lt;&gt;"",$AM18,IF($AQ$7="",0.5*$C$4,$AQ$7))/$C$4))))</f>
        <v>1</v>
      </c>
      <c r="N18" s="98" t="n">
        <f aca="false">IF(OR($I18="Not covered",$I18="Child-only"),0,IF($I18="Full",1,IF($I18="Ancillary",MAX(0.1,MIN(0.5,IF($AR$7="",0.5*$C$4,$AR$7)/$C$4)),MIN(0.5,IF($AR$7="",0.5*$C$4,$AR$7)/$C$4))))</f>
        <v>0</v>
      </c>
      <c r="O18" s="1" t="n">
        <f aca="false">IF(OR($AF$7="",$AG$7=""),"",MAX(AF18/$AF$7,AG18/$AG$7)*100000*IF(AI18="",1,AI18))</f>
        <v>202.962557467398</v>
      </c>
      <c r="P18" s="1" t="n">
        <f aca="false">IF(O18="","",1-EXP(-O18/100000))</f>
        <v>0.00202756727744702</v>
      </c>
      <c r="Q18" s="1" t="s">
        <v>965</v>
      </c>
      <c r="R18" s="1" t="s">
        <v>1137</v>
      </c>
      <c r="S18" s="1" t="n">
        <f aca="false">IF($P18="","",$P18*J18*$C$4*$C$5)</f>
        <v>0</v>
      </c>
      <c r="T18" s="1" t="n">
        <f aca="false">IF($P18="","",$P18*K18*$C$4*$C$5)</f>
        <v>0</v>
      </c>
      <c r="U18" s="1" t="n">
        <f aca="false">IF($P18="","",$P18*L18*$C$4*$C$5)</f>
        <v>0</v>
      </c>
      <c r="V18" s="1" t="n">
        <f aca="false">IF($P18="","",$P18*M18*$C$4*$C$5)</f>
        <v>6398.3353740964</v>
      </c>
      <c r="W18" s="1" t="n">
        <f aca="false">IF($P18="","",$P18*N18*$C$4*$C$5)</f>
        <v>0</v>
      </c>
      <c r="X18" s="1" t="n">
        <f aca="false">IF(S18="","",S18/$E$7)</f>
        <v>0</v>
      </c>
      <c r="Y18" s="1" t="n">
        <f aca="false">IF(T18="","",T18/$F$7)</f>
        <v>0</v>
      </c>
      <c r="Z18" s="1" t="n">
        <f aca="false">IF(U18="","",U18/$G$7)</f>
        <v>0</v>
      </c>
      <c r="AA18" s="1" t="n">
        <f aca="false">IF(V18="","",V18/$H$7)</f>
        <v>0.449960799672608</v>
      </c>
      <c r="AB18" s="1" t="n">
        <f aca="false">IF(W18="","",W18/$I$7)</f>
        <v>0</v>
      </c>
      <c r="AC18" s="1" t="str">
        <f aca="false">IF(COUNTIF(X18:AB18,"&gt;="&amp;$C$6)&gt;0,"PROMOTE","")</f>
        <v>PROMOTE</v>
      </c>
      <c r="AD18" s="1" t="str">
        <f aca="false">IF(COUNTIF(Sources_06!$B$33:$B$73,A18)&gt;0,"Y","")</f>
        <v/>
      </c>
      <c r="AE18" s="1" t="str">
        <f aca="false">IF(AD18="Y",MIN(0.5,Sources_06!$D$11/$C$4),"")</f>
        <v/>
      </c>
      <c r="AF18" s="1" t="n">
        <v>832</v>
      </c>
      <c r="AG18" s="1" t="n">
        <v>2625</v>
      </c>
      <c r="AH18" s="1" t="s">
        <v>1138</v>
      </c>
      <c r="AJ18" s="1" t="s">
        <v>1139</v>
      </c>
      <c r="AK18" s="1" t="n">
        <v>23</v>
      </c>
      <c r="AL18" s="1" t="n">
        <v>60922</v>
      </c>
    </row>
    <row r="19" customFormat="false" ht="15" hidden="false" customHeight="true" outlineLevel="0" collapsed="false">
      <c r="A19" s="1" t="n">
        <v>10</v>
      </c>
      <c r="B19" s="1" t="str">
        <f aca="false">Wording_Ranks!B11</f>
        <v>Aorta Graft Surgery</v>
      </c>
      <c r="C19" s="1" t="str">
        <f aca="false">Wording_Ranks!C11</f>
        <v>Cardiovascular</v>
      </c>
      <c r="D19" s="1" t="str">
        <f aca="false">Wording_Ranks!D11</f>
        <v>Low</v>
      </c>
      <c r="E19" s="1" t="str">
        <f aca="false">Wording_Ranks!F11</f>
        <v>Full</v>
      </c>
      <c r="F19" s="1" t="str">
        <f aca="false">Wording_Ranks!H11</f>
        <v>Full</v>
      </c>
      <c r="G19" s="1" t="str">
        <f aca="false">Wording_Ranks!J11</f>
        <v>Full</v>
      </c>
      <c r="H19" s="1" t="str">
        <f aca="false">Wording_Ranks!M11</f>
        <v>Full</v>
      </c>
      <c r="I19" s="1" t="str">
        <f aca="false">Wording_Ranks!O11</f>
        <v>Full</v>
      </c>
      <c r="J19" s="98" t="n">
        <f aca="false">IF(OR($E19="Not covered",$E19="Child-only"),0,IF($E19="Full",1,IF($E19="Ancillary",MAX(0.1,MIN(0.5,IF($AN$7="",0.5*$C$4,$AN$7)/$C$4)),MIN(0.5,IF($AN$7="",0.5*$C$4,$AN$7)/$C$4))))</f>
        <v>1</v>
      </c>
      <c r="K19" s="98" t="n">
        <f aca="false">IF(OR($F19="Not covered",$F19="Child-only"),0,IF($F19="Full",1,IF($AD19="Y",$AE19,IF($F19="Ancillary",MAX(0.1,MIN(0.5,IF($AO$7="",0.5*$C$4,$AO$7)/$C$4)),MIN(0.5,IF($AO$7="",0.5*$C$4,$AO$7)/$C$4)))))</f>
        <v>1</v>
      </c>
      <c r="L19" s="98" t="n">
        <f aca="false">IF(OR($G19="Not covered",$G19="Child-only"),0,IF($G19="Full",1,IF($G19="Ancillary",MAX(0.1,MIN(0.5,IF($AS19&lt;&gt;"",$AS19,IF($AP$7="",0.5*$C$4,$AP$7))/$C$4)),MIN(0.5,IF($AS19&lt;&gt;"",$AS19,IF($AP$7="",0.5*$C$4,$AP$7))/$C$4))))</f>
        <v>1</v>
      </c>
      <c r="M19" s="98" t="n">
        <f aca="false">IF(OR($H19="Not covered",$H19="Child-only"),0,IF($H19="Full",1,IF($H19="Ancillary",MAX(0.1,MIN(0.5,IF($AM19&lt;&gt;"",$AM19,IF($AQ$7="",0.5*$C$4,$AQ$7))/$C$4)),MIN(0.5,IF($AM19&lt;&gt;"",$AM19,IF($AQ$7="",0.5*$C$4,$AQ$7))/$C$4))))</f>
        <v>1</v>
      </c>
      <c r="N19" s="98" t="n">
        <f aca="false">IF(OR($I19="Not covered",$I19="Child-only"),0,IF($I19="Full",1,IF($I19="Ancillary",MAX(0.1,MIN(0.5,IF($AR$7="",0.5*$C$4,$AR$7)/$C$4)),MIN(0.5,IF($AR$7="",0.5*$C$4,$AR$7)/$C$4))))</f>
        <v>1</v>
      </c>
      <c r="O19" s="1" t="n">
        <f aca="false">IF(OR($AF$7="",$AG$7=""),"",MAX(AF19/$AF$7,AG19/$AG$7)*100000*IF(AI19="",1,AI19))</f>
        <v>2410.49931108709</v>
      </c>
      <c r="P19" s="1" t="n">
        <f aca="false">IF(O19="","",1-EXP(-O19/100000))</f>
        <v>0.0238167881349766</v>
      </c>
      <c r="Q19" s="1" t="s">
        <v>965</v>
      </c>
      <c r="R19" s="1" t="s">
        <v>1137</v>
      </c>
      <c r="S19" s="1" t="n">
        <f aca="false">IF($P19="","",$P19*J19*$C$4*$C$5)</f>
        <v>75157.9489945493</v>
      </c>
      <c r="T19" s="1" t="n">
        <f aca="false">IF($P19="","",$P19*K19*$C$4*$C$5)</f>
        <v>75157.9489945493</v>
      </c>
      <c r="U19" s="1" t="n">
        <f aca="false">IF($P19="","",$P19*L19*$C$4*$C$5)</f>
        <v>75157.9489945493</v>
      </c>
      <c r="V19" s="1" t="n">
        <f aca="false">IF($P19="","",$P19*M19*$C$4*$C$5)</f>
        <v>75157.9489945493</v>
      </c>
      <c r="W19" s="1" t="n">
        <f aca="false">IF($P19="","",$P19*N19*$C$4*$C$5)</f>
        <v>75157.9489945493</v>
      </c>
      <c r="X19" s="1" t="n">
        <f aca="false">IF(S19="","",S19/$E$7)</f>
        <v>4.68231957562358</v>
      </c>
      <c r="Y19" s="1" t="n">
        <f aca="false">IF(T19="","",T19/$F$7)</f>
        <v>6.85999901417656</v>
      </c>
      <c r="Z19" s="1" t="n">
        <f aca="false">IF(U19="","",U19/$G$7)</f>
        <v>12.4285477284246</v>
      </c>
      <c r="AA19" s="1" t="n">
        <f aca="false">IF(V19="","",V19/$H$7)</f>
        <v>5.28545767829752</v>
      </c>
      <c r="AB19" s="1" t="n">
        <f aca="false">IF(W19="","",W19/$I$7)</f>
        <v>4.98423963493614</v>
      </c>
      <c r="AC19" s="1" t="str">
        <f aca="false">IF(COUNTIF(X19:AB19,"&gt;="&amp;$C$6)&gt;0,"PROMOTE","")</f>
        <v>PROMOTE</v>
      </c>
      <c r="AD19" s="1" t="str">
        <f aca="false">IF(COUNTIF(Sources_06!$B$33:$B$73,A19)&gt;0,"Y","")</f>
        <v/>
      </c>
      <c r="AE19" s="1" t="str">
        <f aca="false">IF(AD19="Y",MIN(0.5,Sources_06!$D$11/$C$4),"")</f>
        <v/>
      </c>
      <c r="AF19" s="1" t="n">
        <v>9530</v>
      </c>
      <c r="AG19" s="1" t="n">
        <v>31176</v>
      </c>
      <c r="AH19" s="1" t="s">
        <v>1140</v>
      </c>
      <c r="AJ19" s="1" t="s">
        <v>1141</v>
      </c>
      <c r="AK19" s="1" t="n">
        <v>24</v>
      </c>
      <c r="AL19" s="1" t="n">
        <v>59598</v>
      </c>
    </row>
    <row r="20" customFormat="false" ht="15" hidden="false" customHeight="true" outlineLevel="0" collapsed="false">
      <c r="A20" s="1" t="n">
        <v>11</v>
      </c>
      <c r="B20" s="1" t="str">
        <f aca="false">Wording_Ranks!B12</f>
        <v>Aortic Aneurysm – Endovascular Repair (Partial)</v>
      </c>
      <c r="C20" s="1" t="str">
        <f aca="false">Wording_Ranks!C12</f>
        <v>Cardiovascular</v>
      </c>
      <c r="D20" s="1" t="str">
        <f aca="false">Wording_Ranks!D12</f>
        <v>Low</v>
      </c>
      <c r="E20" s="1" t="str">
        <f aca="false">Wording_Ranks!F12</f>
        <v>Partial</v>
      </c>
      <c r="F20" s="1" t="str">
        <f aca="false">Wording_Ranks!H12</f>
        <v>Partial</v>
      </c>
      <c r="G20" s="1" t="str">
        <f aca="false">Wording_Ranks!J12</f>
        <v>Partial</v>
      </c>
      <c r="H20" s="1" t="str">
        <f aca="false">Wording_Ranks!M12</f>
        <v>Partial</v>
      </c>
      <c r="I20" s="1" t="str">
        <f aca="false">Wording_Ranks!O12</f>
        <v>Partial</v>
      </c>
      <c r="J20" s="98" t="n">
        <f aca="false">IF(OR($E20="Not covered",$E20="Child-only"),0,IF($E20="Full",1,IF($E20="Ancillary",MAX(0.1,MIN(0.5,IF($AN$7="",0.5*$C$4,$AN$7)/$C$4)),MIN(0.5,IF($AN$7="",0.5*$C$4,$AN$7)/$C$4))))</f>
        <v>0.124223602484472</v>
      </c>
      <c r="K20" s="98" t="n">
        <f aca="false">IF(OR($F20="Not covered",$F20="Child-only"),0,IF($F20="Full",1,IF($AD20="Y",$AE20,IF($F20="Ancillary",MAX(0.1,MIN(0.5,IF($AO$7="",0.5*$C$4,$AO$7)/$C$4)),MIN(0.5,IF($AO$7="",0.5*$C$4,$AO$7)/$C$4)))))</f>
        <v>0.093167701863354</v>
      </c>
      <c r="L20" s="98" t="n">
        <f aca="false">IF(OR($G20="Not covered",$G20="Child-only"),0,IF($G20="Full",1,IF($G20="Ancillary",MAX(0.1,MIN(0.5,IF($AS20&lt;&gt;"",$AS20,IF($AP$7="",0.5*$C$4,$AP$7))/$C$4)),MIN(0.5,IF($AS20&lt;&gt;"",$AS20,IF($AP$7="",0.5*$C$4,$AP$7))/$C$4))))</f>
        <v>0.093167701863354</v>
      </c>
      <c r="M20" s="98" t="n">
        <f aca="false">IF(OR($H20="Not covered",$H20="Child-only"),0,IF($H20="Full",1,IF($H20="Ancillary",MAX(0.1,MIN(0.5,IF($AM20&lt;&gt;"",$AM20,IF($AQ$7="",0.5*$C$4,$AQ$7))/$C$4)),MIN(0.5,IF($AM20&lt;&gt;"",$AM20,IF($AQ$7="",0.5*$C$4,$AQ$7))/$C$4))))</f>
        <v>0.093167701863354</v>
      </c>
      <c r="N20" s="98" t="n">
        <f aca="false">IF(OR($I20="Not covered",$I20="Child-only"),0,IF($I20="Full",1,IF($I20="Ancillary",MAX(0.1,MIN(0.5,IF($AR$7="",0.5*$C$4,$AR$7)/$C$4)),MIN(0.5,IF($AR$7="",0.5*$C$4,$AR$7)/$C$4))))</f>
        <v>0.093167701863354</v>
      </c>
      <c r="O20" s="1" t="n">
        <f aca="false">IF(OR($AF$7="",$AG$7=""),"",MAX(AF20/$AF$7,AG20/$AG$7)*100000*IF(AI20="",1,AI20))</f>
        <v>2410.49931108709</v>
      </c>
      <c r="P20" s="1" t="n">
        <f aca="false">IF(O20="","",1-EXP(-O20/100000))</f>
        <v>0.0238167881349766</v>
      </c>
      <c r="Q20" s="1" t="s">
        <v>965</v>
      </c>
      <c r="R20" s="1" t="s">
        <v>1137</v>
      </c>
      <c r="S20" s="1" t="n">
        <f aca="false">IF($P20="","",$P20*J20*$C$4*$C$5)</f>
        <v>9336.39117944711</v>
      </c>
      <c r="T20" s="1" t="n">
        <f aca="false">IF($P20="","",$P20*K20*$C$4*$C$5)</f>
        <v>7002.29338458533</v>
      </c>
      <c r="U20" s="1" t="n">
        <f aca="false">IF($P20="","",$P20*L20*$C$4*$C$5)</f>
        <v>7002.29338458533</v>
      </c>
      <c r="V20" s="1" t="n">
        <f aca="false">IF($P20="","",$P20*M20*$C$4*$C$5)</f>
        <v>7002.29338458533</v>
      </c>
      <c r="W20" s="1" t="n">
        <f aca="false">IF($P20="","",$P20*N20*$C$4*$C$5)</f>
        <v>7002.29338458533</v>
      </c>
      <c r="X20" s="1" t="n">
        <f aca="false">IF(S20="","",S20/$E$7)</f>
        <v>0.581654605667526</v>
      </c>
      <c r="Y20" s="1" t="n">
        <f aca="false">IF(T20="","",T20/$F$7)</f>
        <v>0.639130342935704</v>
      </c>
      <c r="Z20" s="1" t="n">
        <f aca="false">IF(U20="","",U20/$G$7)</f>
        <v>1.15793922935633</v>
      </c>
      <c r="AA20" s="1" t="n">
        <f aca="false">IF(V20="","",V20/$H$7)</f>
        <v>0.492433945182998</v>
      </c>
      <c r="AB20" s="1" t="n">
        <f aca="false">IF(W20="","",W20/$I$7)</f>
        <v>0.464370152323243</v>
      </c>
      <c r="AC20" s="1" t="str">
        <f aca="false">IF(COUNTIF(X20:AB20,"&gt;="&amp;$C$6)&gt;0,"PROMOTE","")</f>
        <v>PROMOTE</v>
      </c>
      <c r="AD20" s="1" t="str">
        <f aca="false">IF(COUNTIF(Sources_06!$B$33:$B$73,A20)&gt;0,"Y","")</f>
        <v>Y</v>
      </c>
      <c r="AE20" s="1" t="n">
        <f aca="false">IF(AD20="Y",MIN(0.5,Sources_06!$D$11/$C$4),"")</f>
        <v>0.093167701863354</v>
      </c>
      <c r="AF20" s="1" t="n">
        <v>9530</v>
      </c>
      <c r="AG20" s="1" t="n">
        <v>31176</v>
      </c>
      <c r="AH20" s="1" t="s">
        <v>1140</v>
      </c>
      <c r="AJ20" s="1" t="s">
        <v>1141</v>
      </c>
      <c r="AK20" s="1" t="n">
        <v>25</v>
      </c>
      <c r="AL20" s="1" t="n">
        <v>59263</v>
      </c>
    </row>
    <row r="21" customFormat="false" ht="15" hidden="false" customHeight="true" outlineLevel="0" collapsed="false">
      <c r="A21" s="1" t="n">
        <v>12</v>
      </c>
      <c r="B21" s="1" t="str">
        <f aca="false">Wording_Ranks!B13</f>
        <v>Balloon Valvuloplasty</v>
      </c>
      <c r="C21" s="1" t="str">
        <f aca="false">Wording_Ranks!C13</f>
        <v>Cardiovascular</v>
      </c>
      <c r="D21" s="1" t="str">
        <f aca="false">Wording_Ranks!D13</f>
        <v>Low</v>
      </c>
      <c r="E21" s="1" t="str">
        <f aca="false">Wording_Ranks!F13</f>
        <v>Full</v>
      </c>
      <c r="F21" s="1" t="str">
        <f aca="false">Wording_Ranks!H13</f>
        <v>Not covered</v>
      </c>
      <c r="G21" s="1" t="str">
        <f aca="false">Wording_Ranks!J13</f>
        <v>Full</v>
      </c>
      <c r="H21" s="1" t="str">
        <f aca="false">Wording_Ranks!M13</f>
        <v>Full</v>
      </c>
      <c r="I21" s="1" t="str">
        <f aca="false">Wording_Ranks!O13</f>
        <v>Full</v>
      </c>
      <c r="J21" s="98" t="n">
        <f aca="false">IF(OR($E21="Not covered",$E21="Child-only"),0,IF($E21="Full",1,IF($E21="Ancillary",MAX(0.1,MIN(0.5,IF($AN$7="",0.5*$C$4,$AN$7)/$C$4)),MIN(0.5,IF($AN$7="",0.5*$C$4,$AN$7)/$C$4))))</f>
        <v>1</v>
      </c>
      <c r="K21" s="98" t="n">
        <f aca="false">IF(OR($F21="Not covered",$F21="Child-only"),0,IF($F21="Full",1,IF($AD21="Y",$AE21,IF($F21="Ancillary",MAX(0.1,MIN(0.5,IF($AO$7="",0.5*$C$4,$AO$7)/$C$4)),MIN(0.5,IF($AO$7="",0.5*$C$4,$AO$7)/$C$4)))))</f>
        <v>0</v>
      </c>
      <c r="L21" s="98" t="n">
        <f aca="false">IF(OR($G21="Not covered",$G21="Child-only"),0,IF($G21="Full",1,IF($G21="Ancillary",MAX(0.1,MIN(0.5,IF($AS21&lt;&gt;"",$AS21,IF($AP$7="",0.5*$C$4,$AP$7))/$C$4)),MIN(0.5,IF($AS21&lt;&gt;"",$AS21,IF($AP$7="",0.5*$C$4,$AP$7))/$C$4))))</f>
        <v>1</v>
      </c>
      <c r="M21" s="98" t="n">
        <f aca="false">IF(OR($H21="Not covered",$H21="Child-only"),0,IF($H21="Full",1,IF($H21="Ancillary",MAX(0.1,MIN(0.5,IF($AM21&lt;&gt;"",$AM21,IF($AQ$7="",0.5*$C$4,$AQ$7))/$C$4)),MIN(0.5,IF($AM21&lt;&gt;"",$AM21,IF($AQ$7="",0.5*$C$4,$AQ$7))/$C$4))))</f>
        <v>1</v>
      </c>
      <c r="N21" s="98" t="n">
        <f aca="false">IF(OR($I21="Not covered",$I21="Child-only"),0,IF($I21="Full",1,IF($I21="Ancillary",MAX(0.1,MIN(0.5,IF($AR$7="",0.5*$C$4,$AR$7)/$C$4)),MIN(0.5,IF($AR$7="",0.5*$C$4,$AR$7)/$C$4))))</f>
        <v>1</v>
      </c>
      <c r="O21" s="1" t="n">
        <f aca="false">IF(OR($AF$7="",$AG$7=""),"",MAX(AF21/$AF$7,AG21/$AG$7)*100000*IF(AI21="",1,AI21))</f>
        <v>2410.49931108709</v>
      </c>
      <c r="P21" s="1" t="n">
        <f aca="false">IF(O21="","",1-EXP(-O21/100000))</f>
        <v>0.0238167881349766</v>
      </c>
      <c r="Q21" s="1" t="s">
        <v>965</v>
      </c>
      <c r="R21" s="1" t="s">
        <v>1137</v>
      </c>
      <c r="S21" s="1" t="n">
        <f aca="false">IF($P21="","",$P21*J21*$C$4*$C$5)</f>
        <v>75157.9489945493</v>
      </c>
      <c r="T21" s="1" t="n">
        <f aca="false">IF($P21="","",$P21*K21*$C$4*$C$5)</f>
        <v>0</v>
      </c>
      <c r="U21" s="1" t="n">
        <f aca="false">IF($P21="","",$P21*L21*$C$4*$C$5)</f>
        <v>75157.9489945493</v>
      </c>
      <c r="V21" s="1" t="n">
        <f aca="false">IF($P21="","",$P21*M21*$C$4*$C$5)</f>
        <v>75157.9489945493</v>
      </c>
      <c r="W21" s="1" t="n">
        <f aca="false">IF($P21="","",$P21*N21*$C$4*$C$5)</f>
        <v>75157.9489945493</v>
      </c>
      <c r="X21" s="1" t="n">
        <f aca="false">IF(S21="","",S21/$E$7)</f>
        <v>4.68231957562358</v>
      </c>
      <c r="Y21" s="1" t="n">
        <f aca="false">IF(T21="","",T21/$F$7)</f>
        <v>0</v>
      </c>
      <c r="Z21" s="1" t="n">
        <f aca="false">IF(U21="","",U21/$G$7)</f>
        <v>12.4285477284246</v>
      </c>
      <c r="AA21" s="1" t="n">
        <f aca="false">IF(V21="","",V21/$H$7)</f>
        <v>5.28545767829752</v>
      </c>
      <c r="AB21" s="1" t="n">
        <f aca="false">IF(W21="","",W21/$I$7)</f>
        <v>4.98423963493614</v>
      </c>
      <c r="AC21" s="1" t="str">
        <f aca="false">IF(COUNTIF(X21:AB21,"&gt;="&amp;$C$6)&gt;0,"PROMOTE","")</f>
        <v>PROMOTE</v>
      </c>
      <c r="AD21" s="1" t="str">
        <f aca="false">IF(COUNTIF(Sources_06!$B$33:$B$73,A21)&gt;0,"Y","")</f>
        <v/>
      </c>
      <c r="AE21" s="1" t="str">
        <f aca="false">IF(AD21="Y",MIN(0.5,Sources_06!$D$11/$C$4),"")</f>
        <v/>
      </c>
      <c r="AF21" s="1" t="n">
        <v>9530</v>
      </c>
      <c r="AG21" s="1" t="n">
        <v>31176</v>
      </c>
      <c r="AH21" s="1" t="s">
        <v>1142</v>
      </c>
      <c r="AJ21" s="1" t="s">
        <v>1141</v>
      </c>
      <c r="AK21" s="1" t="n">
        <v>26</v>
      </c>
      <c r="AL21" s="1" t="n">
        <v>58240</v>
      </c>
    </row>
    <row r="22" customFormat="false" ht="15" hidden="false" customHeight="true" outlineLevel="0" collapsed="false">
      <c r="A22" s="1" t="n">
        <v>13</v>
      </c>
      <c r="B22" s="1" t="str">
        <f aca="false">Wording_Ranks!B14</f>
        <v>Cardiac Arrest with Defibrillator Insertion</v>
      </c>
      <c r="C22" s="1" t="str">
        <f aca="false">Wording_Ranks!C14</f>
        <v>Cardiovascular</v>
      </c>
      <c r="D22" s="1" t="str">
        <f aca="false">Wording_Ranks!D14</f>
        <v>Low</v>
      </c>
      <c r="E22" s="1" t="str">
        <f aca="false">Wording_Ranks!F14</f>
        <v>Full</v>
      </c>
      <c r="F22" s="1" t="str">
        <f aca="false">Wording_Ranks!H14</f>
        <v>Full</v>
      </c>
      <c r="G22" s="1" t="str">
        <f aca="false">Wording_Ranks!J14</f>
        <v>Full</v>
      </c>
      <c r="H22" s="1" t="str">
        <f aca="false">Wording_Ranks!M14</f>
        <v>Full</v>
      </c>
      <c r="I22" s="1" t="str">
        <f aca="false">Wording_Ranks!O14</f>
        <v>Full</v>
      </c>
      <c r="J22" s="98" t="n">
        <f aca="false">IF(OR($E22="Not covered",$E22="Child-only"),0,IF($E22="Full",1,IF($E22="Ancillary",MAX(0.1,MIN(0.5,IF($AN$7="",0.5*$C$4,$AN$7)/$C$4)),MIN(0.5,IF($AN$7="",0.5*$C$4,$AN$7)/$C$4))))</f>
        <v>1</v>
      </c>
      <c r="K22" s="98" t="n">
        <f aca="false">IF(OR($F22="Not covered",$F22="Child-only"),0,IF($F22="Full",1,IF($AD22="Y",$AE22,IF($F22="Ancillary",MAX(0.1,MIN(0.5,IF($AO$7="",0.5*$C$4,$AO$7)/$C$4)),MIN(0.5,IF($AO$7="",0.5*$C$4,$AO$7)/$C$4)))))</f>
        <v>1</v>
      </c>
      <c r="L22" s="98" t="n">
        <f aca="false">IF(OR($G22="Not covered",$G22="Child-only"),0,IF($G22="Full",1,IF($G22="Ancillary",MAX(0.1,MIN(0.5,IF($AS22&lt;&gt;"",$AS22,IF($AP$7="",0.5*$C$4,$AP$7))/$C$4)),MIN(0.5,IF($AS22&lt;&gt;"",$AS22,IF($AP$7="",0.5*$C$4,$AP$7))/$C$4))))</f>
        <v>1</v>
      </c>
      <c r="M22" s="98" t="n">
        <f aca="false">IF(OR($H22="Not covered",$H22="Child-only"),0,IF($H22="Full",1,IF($H22="Ancillary",MAX(0.1,MIN(0.5,IF($AM22&lt;&gt;"",$AM22,IF($AQ$7="",0.5*$C$4,$AQ$7))/$C$4)),MIN(0.5,IF($AM22&lt;&gt;"",$AM22,IF($AQ$7="",0.5*$C$4,$AQ$7))/$C$4))))</f>
        <v>1</v>
      </c>
      <c r="N22" s="98" t="n">
        <f aca="false">IF(OR($I22="Not covered",$I22="Child-only"),0,IF($I22="Full",1,IF($I22="Ancillary",MAX(0.1,MIN(0.5,IF($AR$7="",0.5*$C$4,$AR$7)/$C$4)),MIN(0.5,IF($AR$7="",0.5*$C$4,$AR$7)/$C$4))))</f>
        <v>1</v>
      </c>
      <c r="O22" s="1" t="n">
        <f aca="false">IF(OR($AF$7="",$AG$7=""),"",MAX(AF22/$AF$7,AG22/$AG$7)*100000*IF(AI22="",1,AI22))</f>
        <v>2410.49931108709</v>
      </c>
      <c r="P22" s="1" t="n">
        <f aca="false">IF(O22="","",1-EXP(-O22/100000))</f>
        <v>0.0238167881349766</v>
      </c>
      <c r="Q22" s="1" t="s">
        <v>965</v>
      </c>
      <c r="R22" s="1" t="s">
        <v>1137</v>
      </c>
      <c r="S22" s="1" t="n">
        <f aca="false">IF($P22="","",$P22*J22*$C$4*$C$5)</f>
        <v>75157.9489945493</v>
      </c>
      <c r="T22" s="1" t="n">
        <f aca="false">IF($P22="","",$P22*K22*$C$4*$C$5)</f>
        <v>75157.9489945493</v>
      </c>
      <c r="U22" s="1" t="n">
        <f aca="false">IF($P22="","",$P22*L22*$C$4*$C$5)</f>
        <v>75157.9489945493</v>
      </c>
      <c r="V22" s="1" t="n">
        <f aca="false">IF($P22="","",$P22*M22*$C$4*$C$5)</f>
        <v>75157.9489945493</v>
      </c>
      <c r="W22" s="1" t="n">
        <f aca="false">IF($P22="","",$P22*N22*$C$4*$C$5)</f>
        <v>75157.9489945493</v>
      </c>
      <c r="X22" s="1" t="n">
        <f aca="false">IF(S22="","",S22/$E$7)</f>
        <v>4.68231957562358</v>
      </c>
      <c r="Y22" s="1" t="n">
        <f aca="false">IF(T22="","",T22/$F$7)</f>
        <v>6.85999901417656</v>
      </c>
      <c r="Z22" s="1" t="n">
        <f aca="false">IF(U22="","",U22/$G$7)</f>
        <v>12.4285477284246</v>
      </c>
      <c r="AA22" s="1" t="n">
        <f aca="false">IF(V22="","",V22/$H$7)</f>
        <v>5.28545767829752</v>
      </c>
      <c r="AB22" s="1" t="n">
        <f aca="false">IF(W22="","",W22/$I$7)</f>
        <v>4.98423963493614</v>
      </c>
      <c r="AC22" s="1" t="str">
        <f aca="false">IF(COUNTIF(X22:AB22,"&gt;="&amp;$C$6)&gt;0,"PROMOTE","")</f>
        <v>PROMOTE</v>
      </c>
      <c r="AD22" s="1" t="str">
        <f aca="false">IF(COUNTIF(Sources_06!$B$33:$B$73,A22)&gt;0,"Y","")</f>
        <v/>
      </c>
      <c r="AE22" s="1" t="str">
        <f aca="false">IF(AD22="Y",MIN(0.5,Sources_06!$D$11/$C$4),"")</f>
        <v/>
      </c>
      <c r="AF22" s="1" t="n">
        <v>9530</v>
      </c>
      <c r="AG22" s="1" t="n">
        <v>31176</v>
      </c>
      <c r="AH22" s="1" t="s">
        <v>1143</v>
      </c>
      <c r="AJ22" s="1" t="s">
        <v>1141</v>
      </c>
      <c r="AK22" s="1" t="n">
        <v>27</v>
      </c>
      <c r="AL22" s="1" t="n">
        <v>58690</v>
      </c>
    </row>
    <row r="23" customFormat="false" ht="15" hidden="false" customHeight="true" outlineLevel="0" collapsed="false">
      <c r="A23" s="1" t="n">
        <v>14</v>
      </c>
      <c r="B23" s="1" t="str">
        <f aca="false">Wording_Ranks!B15</f>
        <v>Cardiomyopathy – of Specified Severity</v>
      </c>
      <c r="C23" s="1" t="str">
        <f aca="false">Wording_Ranks!C15</f>
        <v>Cardiovascular</v>
      </c>
      <c r="D23" s="1" t="str">
        <f aca="false">Wording_Ranks!D15</f>
        <v>Low</v>
      </c>
      <c r="E23" s="1" t="str">
        <f aca="false">Wording_Ranks!F15</f>
        <v>Full</v>
      </c>
      <c r="F23" s="1" t="str">
        <f aca="false">Wording_Ranks!H15</f>
        <v>Full</v>
      </c>
      <c r="G23" s="1" t="str">
        <f aca="false">Wording_Ranks!J15</f>
        <v>Full</v>
      </c>
      <c r="H23" s="1" t="str">
        <f aca="false">Wording_Ranks!M15</f>
        <v>Full</v>
      </c>
      <c r="I23" s="1" t="str">
        <f aca="false">Wording_Ranks!O15</f>
        <v>Full</v>
      </c>
      <c r="J23" s="98" t="n">
        <f aca="false">IF(OR($E23="Not covered",$E23="Child-only"),0,IF($E23="Full",1,IF($E23="Ancillary",MAX(0.1,MIN(0.5,IF($AN$7="",0.5*$C$4,$AN$7)/$C$4)),MIN(0.5,IF($AN$7="",0.5*$C$4,$AN$7)/$C$4))))</f>
        <v>1</v>
      </c>
      <c r="K23" s="98" t="n">
        <f aca="false">IF(OR($F23="Not covered",$F23="Child-only"),0,IF($F23="Full",1,IF($AD23="Y",$AE23,IF($F23="Ancillary",MAX(0.1,MIN(0.5,IF($AO$7="",0.5*$C$4,$AO$7)/$C$4)),MIN(0.5,IF($AO$7="",0.5*$C$4,$AO$7)/$C$4)))))</f>
        <v>1</v>
      </c>
      <c r="L23" s="98" t="n">
        <f aca="false">IF(OR($G23="Not covered",$G23="Child-only"),0,IF($G23="Full",1,IF($G23="Ancillary",MAX(0.1,MIN(0.5,IF($AS23&lt;&gt;"",$AS23,IF($AP$7="",0.5*$C$4,$AP$7))/$C$4)),MIN(0.5,IF($AS23&lt;&gt;"",$AS23,IF($AP$7="",0.5*$C$4,$AP$7))/$C$4))))</f>
        <v>1</v>
      </c>
      <c r="M23" s="98" t="n">
        <f aca="false">IF(OR($H23="Not covered",$H23="Child-only"),0,IF($H23="Full",1,IF($H23="Ancillary",MAX(0.1,MIN(0.5,IF($AM23&lt;&gt;"",$AM23,IF($AQ$7="",0.5*$C$4,$AQ$7))/$C$4)),MIN(0.5,IF($AM23&lt;&gt;"",$AM23,IF($AQ$7="",0.5*$C$4,$AQ$7))/$C$4))))</f>
        <v>1</v>
      </c>
      <c r="N23" s="98" t="n">
        <f aca="false">IF(OR($I23="Not covered",$I23="Child-only"),0,IF($I23="Full",1,IF($I23="Ancillary",MAX(0.1,MIN(0.5,IF($AR$7="",0.5*$C$4,$AR$7)/$C$4)),MIN(0.5,IF($AR$7="",0.5*$C$4,$AR$7)/$C$4))))</f>
        <v>1</v>
      </c>
      <c r="P23" s="1" t="str">
        <f aca="false">IF(O23="","",1-EXP(-O23/100000))</f>
        <v/>
      </c>
      <c r="R23" s="1" t="s">
        <v>822</v>
      </c>
      <c r="S23" s="1" t="str">
        <f aca="false">IF($P23="","",$P23*J23*$C$4*$C$5)</f>
        <v/>
      </c>
      <c r="T23" s="1" t="str">
        <f aca="false">IF($P23="","",$P23*K23*$C$4*$C$5)</f>
        <v/>
      </c>
      <c r="U23" s="1" t="str">
        <f aca="false">IF($P23="","",$P23*L23*$C$4*$C$5)</f>
        <v/>
      </c>
      <c r="V23" s="1" t="str">
        <f aca="false">IF($P23="","",$P23*M23*$C$4*$C$5)</f>
        <v/>
      </c>
      <c r="W23" s="1" t="str">
        <f aca="false">IF($P23="","",$P23*N23*$C$4*$C$5)</f>
        <v/>
      </c>
      <c r="X23" s="1" t="str">
        <f aca="false">IF(S23="","",S23/$E$7)</f>
        <v/>
      </c>
      <c r="Y23" s="1" t="str">
        <f aca="false">IF(T23="","",T23/$F$7)</f>
        <v/>
      </c>
      <c r="Z23" s="1" t="str">
        <f aca="false">IF(U23="","",U23/$G$7)</f>
        <v/>
      </c>
      <c r="AA23" s="1" t="str">
        <f aca="false">IF(V23="","",V23/$H$7)</f>
        <v/>
      </c>
      <c r="AB23" s="1" t="str">
        <f aca="false">IF(W23="","",W23/$I$7)</f>
        <v/>
      </c>
      <c r="AC23" s="1" t="str">
        <f aca="false">IF(COUNTIF(X23:AB23,"&gt;="&amp;$C$6)&gt;0,"PROMOTE","")</f>
        <v/>
      </c>
      <c r="AD23" s="1" t="str">
        <f aca="false">IF(COUNTIF(Sources_06!$B$33:$B$73,A23)&gt;0,"Y","")</f>
        <v/>
      </c>
      <c r="AE23" s="1" t="str">
        <f aca="false">IF(AD23="Y",MIN(0.5,Sources_06!$D$11/$C$4),"")</f>
        <v/>
      </c>
      <c r="AK23" s="1" t="n">
        <v>28</v>
      </c>
      <c r="AL23" s="1" t="n">
        <v>58690</v>
      </c>
    </row>
    <row r="24" customFormat="false" ht="15" hidden="false" customHeight="true" outlineLevel="0" collapsed="false">
      <c r="A24" s="1" t="n">
        <v>15</v>
      </c>
      <c r="B24" s="1" t="str">
        <f aca="false">Wording_Ranks!B16</f>
        <v>Carotid Artery Stenosis – Treated by Endarterectomy or Angioplasty</v>
      </c>
      <c r="C24" s="1" t="str">
        <f aca="false">Wording_Ranks!C16</f>
        <v>Cardiovascular</v>
      </c>
      <c r="D24" s="1" t="str">
        <f aca="false">Wording_Ranks!D16</f>
        <v>Low</v>
      </c>
      <c r="E24" s="1" t="str">
        <f aca="false">Wording_Ranks!F16</f>
        <v>Partial</v>
      </c>
      <c r="F24" s="1" t="str">
        <f aca="false">Wording_Ranks!H16</f>
        <v>Partial</v>
      </c>
      <c r="G24" s="1" t="str">
        <f aca="false">Wording_Ranks!J16</f>
        <v>Partial</v>
      </c>
      <c r="H24" s="1" t="str">
        <f aca="false">Wording_Ranks!M16</f>
        <v>Partial</v>
      </c>
      <c r="I24" s="1" t="str">
        <f aca="false">Wording_Ranks!O16</f>
        <v>Partial</v>
      </c>
      <c r="J24" s="98" t="n">
        <f aca="false">IF(OR($E24="Not covered",$E24="Child-only"),0,IF($E24="Full",1,IF($E24="Ancillary",MAX(0.1,MIN(0.5,IF($AN$7="",0.5*$C$4,$AN$7)/$C$4)),MIN(0.5,IF($AN$7="",0.5*$C$4,$AN$7)/$C$4))))</f>
        <v>0.124223602484472</v>
      </c>
      <c r="K24" s="98" t="n">
        <f aca="false">IF(OR($F24="Not covered",$F24="Child-only"),0,IF($F24="Full",1,IF($AD24="Y",$AE24,IF($F24="Ancillary",MAX(0.1,MIN(0.5,IF($AO$7="",0.5*$C$4,$AO$7)/$C$4)),MIN(0.5,IF($AO$7="",0.5*$C$4,$AO$7)/$C$4)))))</f>
        <v>0.093167701863354</v>
      </c>
      <c r="L24" s="98" t="n">
        <f aca="false">IF(OR($G24="Not covered",$G24="Child-only"),0,IF($G24="Full",1,IF($G24="Ancillary",MAX(0.1,MIN(0.5,IF($AS24&lt;&gt;"",$AS24,IF($AP$7="",0.5*$C$4,$AP$7))/$C$4)),MIN(0.5,IF($AS24&lt;&gt;"",$AS24,IF($AP$7="",0.5*$C$4,$AP$7))/$C$4))))</f>
        <v>0.093167701863354</v>
      </c>
      <c r="M24" s="98" t="n">
        <f aca="false">IF(OR($H24="Not covered",$H24="Child-only"),0,IF($H24="Full",1,IF($H24="Ancillary",MAX(0.1,MIN(0.5,IF($AM24&lt;&gt;"",$AM24,IF($AQ$7="",0.5*$C$4,$AQ$7))/$C$4)),MIN(0.5,IF($AM24&lt;&gt;"",$AM24,IF($AQ$7="",0.5*$C$4,$AQ$7))/$C$4))))</f>
        <v>0.093167701863354</v>
      </c>
      <c r="N24" s="98" t="n">
        <f aca="false">IF(OR($I24="Not covered",$I24="Child-only"),0,IF($I24="Full",1,IF($I24="Ancillary",MAX(0.1,MIN(0.5,IF($AR$7="",0.5*$C$4,$AR$7)/$C$4)),MIN(0.5,IF($AR$7="",0.5*$C$4,$AR$7)/$C$4))))</f>
        <v>0.093167701863354</v>
      </c>
      <c r="O24" s="1" t="n">
        <f aca="false">IF(OR($AF$7="",$AG$7=""),"",MAX(AF24/$AF$7,AG24/$AG$7)*100000*IF(AI24="",1,AI24))</f>
        <v>2410.49931108709</v>
      </c>
      <c r="P24" s="1" t="n">
        <f aca="false">IF(O24="","",1-EXP(-O24/100000))</f>
        <v>0.0238167881349766</v>
      </c>
      <c r="Q24" s="1" t="s">
        <v>965</v>
      </c>
      <c r="R24" s="1" t="s">
        <v>1137</v>
      </c>
      <c r="S24" s="1" t="n">
        <f aca="false">IF($P24="","",$P24*J24*$C$4*$C$5)</f>
        <v>9336.39117944711</v>
      </c>
      <c r="T24" s="1" t="n">
        <f aca="false">IF($P24="","",$P24*K24*$C$4*$C$5)</f>
        <v>7002.29338458533</v>
      </c>
      <c r="U24" s="1" t="n">
        <f aca="false">IF($P24="","",$P24*L24*$C$4*$C$5)</f>
        <v>7002.29338458533</v>
      </c>
      <c r="V24" s="1" t="n">
        <f aca="false">IF($P24="","",$P24*M24*$C$4*$C$5)</f>
        <v>7002.29338458533</v>
      </c>
      <c r="W24" s="1" t="n">
        <f aca="false">IF($P24="","",$P24*N24*$C$4*$C$5)</f>
        <v>7002.29338458533</v>
      </c>
      <c r="X24" s="1" t="n">
        <f aca="false">IF(S24="","",S24/$E$7)</f>
        <v>0.581654605667526</v>
      </c>
      <c r="Y24" s="1" t="n">
        <f aca="false">IF(T24="","",T24/$F$7)</f>
        <v>0.639130342935704</v>
      </c>
      <c r="Z24" s="1" t="n">
        <f aca="false">IF(U24="","",U24/$G$7)</f>
        <v>1.15793922935633</v>
      </c>
      <c r="AA24" s="1" t="n">
        <f aca="false">IF(V24="","",V24/$H$7)</f>
        <v>0.492433945182998</v>
      </c>
      <c r="AB24" s="1" t="n">
        <f aca="false">IF(W24="","",W24/$I$7)</f>
        <v>0.464370152323243</v>
      </c>
      <c r="AC24" s="1" t="str">
        <f aca="false">IF(COUNTIF(X24:AB24,"&gt;="&amp;$C$6)&gt;0,"PROMOTE","")</f>
        <v>PROMOTE</v>
      </c>
      <c r="AD24" s="1" t="str">
        <f aca="false">IF(COUNTIF(Sources_06!$B$33:$B$73,A24)&gt;0,"Y","")</f>
        <v>Y</v>
      </c>
      <c r="AE24" s="1" t="n">
        <f aca="false">IF(AD24="Y",MIN(0.5,Sources_06!$D$11/$C$4),"")</f>
        <v>0.093167701863354</v>
      </c>
      <c r="AF24" s="1" t="n">
        <v>9530</v>
      </c>
      <c r="AG24" s="1" t="n">
        <v>31176</v>
      </c>
      <c r="AH24" s="1" t="s">
        <v>1140</v>
      </c>
      <c r="AJ24" s="1" t="s">
        <v>1141</v>
      </c>
      <c r="AK24" s="1" t="n">
        <v>29</v>
      </c>
      <c r="AL24" s="1" t="n">
        <v>60925</v>
      </c>
    </row>
    <row r="25" customFormat="false" ht="15" hidden="false" customHeight="true" outlineLevel="0" collapsed="false">
      <c r="A25" s="1" t="n">
        <v>16</v>
      </c>
      <c r="B25" s="1" t="str">
        <f aca="false">Wording_Ranks!B17</f>
        <v>Coronary Angioplasty (Partial Payment)</v>
      </c>
      <c r="C25" s="1" t="str">
        <f aca="false">Wording_Ranks!C17</f>
        <v>Cardiovascular</v>
      </c>
      <c r="D25" s="1" t="str">
        <f aca="false">Wording_Ranks!D17</f>
        <v>High</v>
      </c>
      <c r="E25" s="1" t="str">
        <f aca="false">Wording_Ranks!F17</f>
        <v>Partial</v>
      </c>
      <c r="F25" s="1" t="str">
        <f aca="false">Wording_Ranks!H17</f>
        <v>Partial</v>
      </c>
      <c r="G25" s="1" t="str">
        <f aca="false">Wording_Ranks!J17</f>
        <v>Partial</v>
      </c>
      <c r="H25" s="1" t="str">
        <f aca="false">Wording_Ranks!M17</f>
        <v>Partial</v>
      </c>
      <c r="I25" s="1" t="str">
        <f aca="false">Wording_Ranks!O17</f>
        <v>Partial</v>
      </c>
      <c r="J25" s="98" t="n">
        <f aca="false">IF(OR($E25="Not covered",$E25="Child-only"),0,IF($E25="Full",1,IF($E25="Ancillary",MAX(0.1,MIN(0.5,IF($AN$7="",0.5*$C$4,$AN$7)/$C$4)),MIN(0.5,IF($AN$7="",0.5*$C$4,$AN$7)/$C$4))))</f>
        <v>0.124223602484472</v>
      </c>
      <c r="K25" s="98" t="n">
        <f aca="false">IF(OR($F25="Not covered",$F25="Child-only"),0,IF($F25="Full",1,IF($AD25="Y",$AE25,IF($F25="Ancillary",MAX(0.1,MIN(0.5,IF($AO$7="",0.5*$C$4,$AO$7)/$C$4)),MIN(0.5,IF($AO$7="",0.5*$C$4,$AO$7)/$C$4)))))</f>
        <v>0.248447204968944</v>
      </c>
      <c r="L25" s="98" t="n">
        <f aca="false">IF(OR($G25="Not covered",$G25="Child-only"),0,IF($G25="Full",1,IF($G25="Ancillary",MAX(0.1,MIN(0.5,IF($AS25&lt;&gt;"",$AS25,IF($AP$7="",0.5*$C$4,$AP$7))/$C$4)),MIN(0.5,IF($AS25&lt;&gt;"",$AS25,IF($AP$7="",0.5*$C$4,$AP$7))/$C$4))))</f>
        <v>0.31055900621118</v>
      </c>
      <c r="M25" s="98" t="n">
        <f aca="false">IF(OR($H25="Not covered",$H25="Child-only"),0,IF($H25="Full",1,IF($H25="Ancillary",MAX(0.1,MIN(0.5,IF($AM25&lt;&gt;"",$AM25,IF($AQ$7="",0.5*$C$4,$AQ$7))/$C$4)),MIN(0.5,IF($AM25&lt;&gt;"",$AM25,IF($AQ$7="",0.5*$C$4,$AQ$7))/$C$4))))</f>
        <v>0.31055900621118</v>
      </c>
      <c r="N25" s="98" t="n">
        <f aca="false">IF(OR($I25="Not covered",$I25="Child-only"),0,IF($AT25&lt;&gt;"",$AT25,IF($I25="Full",1,IF($I25="Ancillary",MAX(0.1,MIN(0.5,IF($AR$7="",0.5*$C$4,$AR$7)/$C$4)),MIN(0.5,IF($AR$7="",0.5*$C$4,$AR$7)/$C$4)))))</f>
        <v>0.5</v>
      </c>
      <c r="O25" s="1" t="n">
        <f aca="false">IF(OR($AF$7="",$AG$7=""),"",MAX(AF25/$AF$7,AG25/$AG$7)*100000*IF(AI25="",1,AI25))</f>
        <v>295.513483672532</v>
      </c>
      <c r="P25" s="1" t="n">
        <f aca="false">IF(O25="","",1-EXP(-O25/100000))</f>
        <v>0.00295077272370903</v>
      </c>
      <c r="Q25" s="1" t="s">
        <v>965</v>
      </c>
      <c r="R25" s="1" t="s">
        <v>1137</v>
      </c>
      <c r="S25" s="1" t="n">
        <f aca="false">IF($P25="","",$P25*J25*$C$4*$C$5)</f>
        <v>1156.72895413348</v>
      </c>
      <c r="T25" s="1" t="n">
        <f aca="false">IF($P25="","",$P25*K25*$C$4*$C$5)</f>
        <v>2313.45790826696</v>
      </c>
      <c r="U25" s="1" t="n">
        <f aca="false">IF($P25="","",$P25*L25*$C$4*$C$5)</f>
        <v>2891.8223853337</v>
      </c>
      <c r="V25" s="1" t="n">
        <f aca="false">IF($P25="","",$P25*M25*$C$4*$C$5)</f>
        <v>2891.8223853337</v>
      </c>
      <c r="W25" s="1" t="n">
        <f aca="false">IF($P25="","",$P25*N25*$C$4*$C$5)</f>
        <v>4655.83404038725</v>
      </c>
      <c r="X25" s="1" t="n">
        <f aca="false">IF(S25="","",S25/$E$7)</f>
        <v>0.072063896076017</v>
      </c>
      <c r="Y25" s="1" t="n">
        <f aca="false">IF(T25="","",T25/$F$7)</f>
        <v>0.211159553744625</v>
      </c>
      <c r="Z25" s="1" t="n">
        <f aca="false">IF(U25="","",U25/$G$7)</f>
        <v>0.478208266977231</v>
      </c>
      <c r="AA25" s="1" t="n">
        <f aca="false">IF(V25="","",V25/$H$7)</f>
        <v>0.20336644407291</v>
      </c>
      <c r="AB25" s="1" t="n">
        <f aca="false">IF(W25="","",W25/$I$7)</f>
        <v>0.308760322337508</v>
      </c>
      <c r="AC25" s="1" t="str">
        <f aca="false">IF(COUNTIF(X25:AB25,"&gt;="&amp;$C$6)&gt;0,"PROMOTE","")</f>
        <v>PROMOTE</v>
      </c>
      <c r="AD25" s="1" t="str">
        <f aca="false">IF(COUNTIF(Sources_06!$B$33:$B$73,A25)&gt;0,"Y","")</f>
        <v>Y</v>
      </c>
      <c r="AE25" s="1" t="n">
        <f aca="false">IF(AD25="Y",MIN(0.5,Sources_06!$D$81/$C$4),"")</f>
        <v>0.248447204968944</v>
      </c>
      <c r="AF25" s="1" t="n">
        <v>249</v>
      </c>
      <c r="AG25" s="1" t="n">
        <v>2548</v>
      </c>
      <c r="AH25" s="1" t="s">
        <v>1144</v>
      </c>
      <c r="AI25" s="1" t="n">
        <v>1.5</v>
      </c>
      <c r="AJ25" s="1" t="s">
        <v>1145</v>
      </c>
      <c r="AK25" s="1" t="n">
        <v>30</v>
      </c>
      <c r="AL25" s="1" t="n">
        <v>63699</v>
      </c>
      <c r="AM25" s="1" t="n">
        <v>50000</v>
      </c>
      <c r="AS25" s="1" t="n">
        <v>50000</v>
      </c>
      <c r="AT25" s="1" t="n">
        <v>0.5</v>
      </c>
    </row>
    <row r="26" customFormat="false" ht="15" hidden="false" customHeight="true" outlineLevel="0" collapsed="false">
      <c r="A26" s="1" t="n">
        <v>17</v>
      </c>
      <c r="B26" s="1" t="str">
        <f aca="false">Wording_Ranks!B18</f>
        <v>Coronary Angioplasty – Single Vessel</v>
      </c>
      <c r="C26" s="1" t="str">
        <f aca="false">Wording_Ranks!C18</f>
        <v>Cardiovascular</v>
      </c>
      <c r="D26" s="1" t="str">
        <f aca="false">Wording_Ranks!D18</f>
        <v>High</v>
      </c>
      <c r="E26" s="1" t="str">
        <f aca="false">Wording_Ranks!F18</f>
        <v>Partial</v>
      </c>
      <c r="F26" s="1" t="str">
        <f aca="false">Wording_Ranks!H18</f>
        <v>Partial</v>
      </c>
      <c r="G26" s="1" t="str">
        <f aca="false">Wording_Ranks!J18</f>
        <v>Partial</v>
      </c>
      <c r="H26" s="1" t="str">
        <f aca="false">Wording_Ranks!M18</f>
        <v>Partial</v>
      </c>
      <c r="I26" s="1" t="str">
        <f aca="false">Wording_Ranks!O18</f>
        <v>Partial</v>
      </c>
      <c r="J26" s="98" t="n">
        <f aca="false">IF(OR($E26="Not covered",$E26="Child-only"),0,IF($AU26&lt;&gt;"",$AU26,IF($E26="Full",1,MIN(0.5,IF($AN$7="",0.5*$C$4,$AN$7)/$C$4))))</f>
        <v>0.031055900621118</v>
      </c>
      <c r="K26" s="98" t="n">
        <f aca="false">IF(OR($F26="Not covered",$F26="Child-only"),0,IF($F26="Full",1,IF($AD26="Y",$AE26,IF($F26="Ancillary",MAX(0.1,MIN(0.5,IF($AO$7="",0.5*$C$4,$AO$7)/$C$4)),MIN(0.5,IF($AO$7="",0.5*$C$4,$AO$7)/$C$4)))))</f>
        <v>0.062111801242236</v>
      </c>
      <c r="L26" s="98" t="n">
        <f aca="false">IF(OR($G26="Not covered",$G26="Child-only"),0,IF($G26="Full",1,IF($G26="Ancillary",MAX(0.1,MIN(0.5,IF($AS26&lt;&gt;"",$AS26,IF($AP$7="",0.5*$C$4,$AP$7))/$C$4)),MIN(0.5,IF($AS26&lt;&gt;"",$AS26,IF($AP$7="",0.5*$C$4,$AP$7))/$C$4))))</f>
        <v>0.062111801242236</v>
      </c>
      <c r="M26" s="98" t="n">
        <f aca="false">IF(OR($H26="Not covered",$H26="Child-only"),0,IF($H26="Full",1,IF($H26="Ancillary",MAX(0.1,MIN(0.5,IF($AM26&lt;&gt;"",$AM26,IF($AQ$7="",0.5*$C$4,$AQ$7))/$C$4)),MIN(0.5,IF($AM26&lt;&gt;"",$AM26,IF($AQ$7="",0.5*$C$4,$AQ$7))/$C$4))))</f>
        <v>0.031055900621118</v>
      </c>
      <c r="N26" s="98" t="n">
        <f aca="false">IF(OR($I26="Not covered",$I26="Child-only"),0,IF($AT26&lt;&gt;"",$AT26,IF($I26="Full",1,IF($I26="Ancillary",MAX(0.1,MIN(0.5,IF($AR$7="",0.5*$C$4,$AR$7)/$C$4)),MIN(0.5,IF($AR$7="",0.5*$C$4,$AR$7)/$C$4)))))</f>
        <v>0.031055900621118</v>
      </c>
      <c r="O26" s="1" t="n">
        <f aca="false">IF(OR($AF$7="",$AG$7=""),"",MAX(AF26/$AF$7,AG26/$AG$7)*100000*IF(AI26="",1,AI26))</f>
        <v>295.513483672532</v>
      </c>
      <c r="P26" s="1" t="n">
        <f aca="false">IF(O26="","",1-EXP(-O26/100000))</f>
        <v>0.00295077272370903</v>
      </c>
      <c r="Q26" s="1" t="s">
        <v>965</v>
      </c>
      <c r="R26" s="1" t="s">
        <v>1137</v>
      </c>
      <c r="S26" s="1" t="n">
        <f aca="false">IF($P26="","",$P26*J26*$C$4*$C$5)</f>
        <v>289.18223853337</v>
      </c>
      <c r="T26" s="1" t="n">
        <f aca="false">IF($P26="","",$P26*K26*$C$4*$C$5)</f>
        <v>578.36447706674</v>
      </c>
      <c r="U26" s="1" t="n">
        <f aca="false">IF($P26="","",$P26*L26*$C$4*$C$5)</f>
        <v>578.36447706674</v>
      </c>
      <c r="V26" s="1" t="n">
        <f aca="false">IF($P26="","",$P26*M26*$C$4*$C$5)</f>
        <v>289.18223853337</v>
      </c>
      <c r="W26" s="1" t="n">
        <f aca="false">IF($P26="","",$P26*N26*$C$4*$C$5)</f>
        <v>289.18223853337</v>
      </c>
      <c r="X26" s="1" t="n">
        <f aca="false">IF(S26="","",S26/$E$7)</f>
        <v>0.0180159740190043</v>
      </c>
      <c r="Y26" s="1" t="n">
        <f aca="false">IF(T26="","",T26/$F$7)</f>
        <v>0.0527898884361562</v>
      </c>
      <c r="Z26" s="1" t="n">
        <f aca="false">IF(U26="","",U26/$G$7)</f>
        <v>0.0956416533954462</v>
      </c>
      <c r="AA26" s="1" t="n">
        <f aca="false">IF(V26="","",V26/$H$7)</f>
        <v>0.020336644407291</v>
      </c>
      <c r="AB26" s="1" t="n">
        <f aca="false">IF(W26="","",W26/$I$7)</f>
        <v>0.019177659772516</v>
      </c>
      <c r="AC26" s="1" t="str">
        <f aca="false">IF(COUNTIF(X26:AB26,"&gt;="&amp;$C$6)&gt;0,"PROMOTE","")</f>
        <v>PROMOTE</v>
      </c>
      <c r="AD26" s="1" t="s">
        <v>1146</v>
      </c>
      <c r="AE26" s="1" t="n">
        <v>0.062111801242236</v>
      </c>
      <c r="AF26" s="1" t="n">
        <v>249</v>
      </c>
      <c r="AG26" s="1" t="n">
        <v>2548</v>
      </c>
      <c r="AH26" s="1" t="s">
        <v>1147</v>
      </c>
      <c r="AI26" s="1" t="n">
        <v>1.5</v>
      </c>
      <c r="AJ26" s="1" t="s">
        <v>1145</v>
      </c>
      <c r="AK26" s="1" t="n">
        <v>31</v>
      </c>
      <c r="AL26" s="1" t="n">
        <v>65947</v>
      </c>
      <c r="AM26" s="1" t="n">
        <v>5000</v>
      </c>
      <c r="AS26" s="1" t="n">
        <v>10000</v>
      </c>
      <c r="AT26" s="1" t="n">
        <v>0.031055900621118</v>
      </c>
      <c r="AU26" s="1" t="n">
        <v>0.031055900621118</v>
      </c>
    </row>
    <row r="27" customFormat="false" ht="15" hidden="false" customHeight="true" outlineLevel="0" collapsed="false">
      <c r="A27" s="1" t="n">
        <v>18</v>
      </c>
      <c r="B27" s="1" t="str">
        <f aca="false">Wording_Ranks!B19</f>
        <v>Coronary Angioplasty – Two or More Vessels</v>
      </c>
      <c r="C27" s="1" t="str">
        <f aca="false">Wording_Ranks!C19</f>
        <v>Cardiovascular</v>
      </c>
      <c r="D27" s="1" t="str">
        <f aca="false">Wording_Ranks!D19</f>
        <v>High</v>
      </c>
      <c r="E27" s="1" t="str">
        <f aca="false">Wording_Ranks!F19</f>
        <v>Partial</v>
      </c>
      <c r="F27" s="1" t="str">
        <f aca="false">Wording_Ranks!H19</f>
        <v>Partial</v>
      </c>
      <c r="G27" s="1" t="str">
        <f aca="false">Wording_Ranks!J19</f>
        <v>Partial</v>
      </c>
      <c r="H27" s="1" t="str">
        <f aca="false">Wording_Ranks!M19</f>
        <v>Partial</v>
      </c>
      <c r="I27" s="1" t="str">
        <f aca="false">Wording_Ranks!O19</f>
        <v>Partial</v>
      </c>
      <c r="J27" s="98" t="n">
        <f aca="false">IF(OR($E27="Not covered",$E27="Child-only"),0,IF($E27="Full",1,IF($E27="Ancillary",MAX(0.1,MIN(0.5,IF($AN$7="",0.5*$C$4,$AN$7)/$C$4)),MIN(0.5,IF($AN$7="",0.5*$C$4,$AN$7)/$C$4))))</f>
        <v>0.124223602484472</v>
      </c>
      <c r="K27" s="98" t="n">
        <f aca="false">IF(OR($F27="Not covered",$F27="Child-only"),0,IF($F27="Full",1,IF($AD27="Y",$AE27,IF($F27="Ancillary",MAX(0.1,MIN(0.5,IF($AO$7="",0.5*$C$4,$AO$7)/$C$4)),MIN(0.5,IF($AO$7="",0.5*$C$4,$AO$7)/$C$4)))))</f>
        <v>0.248447204968944</v>
      </c>
      <c r="L27" s="98" t="n">
        <f aca="false">IF(OR($G27="Not covered",$G27="Child-only"),0,IF($G27="Full",1,IF($G27="Ancillary",MAX(0.1,MIN(0.5,IF($AS27&lt;&gt;"",$AS27,IF($AP$7="",0.5*$C$4,$AP$7))/$C$4)),MIN(0.5,IF($AS27&lt;&gt;"",$AS27,IF($AP$7="",0.5*$C$4,$AP$7))/$C$4))))</f>
        <v>0.31055900621118</v>
      </c>
      <c r="M27" s="98" t="n">
        <f aca="false">IF(OR($H27="Not covered",$H27="Child-only"),0,IF($H27="Full",1,IF($H27="Ancillary",MAX(0.1,MIN(0.5,IF($AM27&lt;&gt;"",$AM27,IF($AQ$7="",0.5*$C$4,$AQ$7))/$C$4)),MIN(0.5,IF($AM27&lt;&gt;"",$AM27,IF($AQ$7="",0.5*$C$4,$AQ$7))/$C$4))))</f>
        <v>0.31055900621118</v>
      </c>
      <c r="N27" s="98" t="n">
        <f aca="false">IF(OR($I27="Not covered",$I27="Child-only"),0,IF($AT27&lt;&gt;"",$AT27,IF($I27="Full",1,IF($I27="Ancillary",MAX(0.1,MIN(0.5,IF($AR$7="",0.5*$C$4,$AR$7)/$C$4)),MIN(0.5,IF($AR$7="",0.5*$C$4,$AR$7)/$C$4)))))</f>
        <v>0.5</v>
      </c>
      <c r="O27" s="1" t="n">
        <f aca="false">IF(OR($AF$7="",$AG$7=""),"",MAX(AF27/$AF$7,AG27/$AG$7)*100000*IF(AI27="",1,AI27))</f>
        <v>295.513483672532</v>
      </c>
      <c r="P27" s="1" t="n">
        <f aca="false">IF(O27="","",1-EXP(-O27/100000))</f>
        <v>0.00295077272370903</v>
      </c>
      <c r="Q27" s="1" t="s">
        <v>965</v>
      </c>
      <c r="R27" s="1" t="s">
        <v>1137</v>
      </c>
      <c r="S27" s="1" t="n">
        <f aca="false">IF($P27="","",$P27*J27*$C$4*$C$5)</f>
        <v>1156.72895413348</v>
      </c>
      <c r="T27" s="1" t="n">
        <f aca="false">IF($P27="","",$P27*K27*$C$4*$C$5)</f>
        <v>2313.45790826696</v>
      </c>
      <c r="U27" s="1" t="n">
        <f aca="false">IF($P27="","",$P27*L27*$C$4*$C$5)</f>
        <v>2891.8223853337</v>
      </c>
      <c r="V27" s="1" t="n">
        <f aca="false">IF($P27="","",$P27*M27*$C$4*$C$5)</f>
        <v>2891.8223853337</v>
      </c>
      <c r="W27" s="1" t="n">
        <f aca="false">IF($P27="","",$P27*N27*$C$4*$C$5)</f>
        <v>4655.83404038725</v>
      </c>
      <c r="X27" s="1" t="n">
        <f aca="false">IF(S27="","",S27/$E$7)</f>
        <v>0.072063896076017</v>
      </c>
      <c r="Y27" s="1" t="n">
        <f aca="false">IF(T27="","",T27/$F$7)</f>
        <v>0.211159553744625</v>
      </c>
      <c r="Z27" s="1" t="n">
        <f aca="false">IF(U27="","",U27/$G$7)</f>
        <v>0.478208266977231</v>
      </c>
      <c r="AA27" s="1" t="n">
        <f aca="false">IF(V27="","",V27/$H$7)</f>
        <v>0.20336644407291</v>
      </c>
      <c r="AB27" s="1" t="n">
        <f aca="false">IF(W27="","",W27/$I$7)</f>
        <v>0.308760322337508</v>
      </c>
      <c r="AC27" s="1" t="str">
        <f aca="false">IF(COUNTIF(X27:AB27,"&gt;="&amp;$C$6)&gt;0,"PROMOTE","")</f>
        <v>PROMOTE</v>
      </c>
      <c r="AD27" s="1" t="s">
        <v>1146</v>
      </c>
      <c r="AE27" s="1" t="n">
        <v>0.248447204968944</v>
      </c>
      <c r="AF27" s="1" t="n">
        <v>249</v>
      </c>
      <c r="AG27" s="1" t="n">
        <v>2548</v>
      </c>
      <c r="AH27" s="1" t="s">
        <v>1147</v>
      </c>
      <c r="AI27" s="1" t="n">
        <v>1.5</v>
      </c>
      <c r="AJ27" s="1" t="s">
        <v>1145</v>
      </c>
      <c r="AK27" s="1" t="n">
        <v>32</v>
      </c>
      <c r="AL27" s="1" t="n">
        <v>66795</v>
      </c>
      <c r="AM27" s="1" t="n">
        <v>50000</v>
      </c>
      <c r="AS27" s="1" t="n">
        <v>50000</v>
      </c>
      <c r="AT27" s="1" t="n">
        <v>0.5</v>
      </c>
    </row>
    <row r="28" customFormat="false" ht="15" hidden="false" customHeight="true" outlineLevel="0" collapsed="false">
      <c r="A28" s="1" t="n">
        <v>19</v>
      </c>
      <c r="B28" s="1" t="str">
        <f aca="false">Wording_Ranks!B20</f>
        <v>Coronary Artery Bypass Graft (CABG) – Open Surgery</v>
      </c>
      <c r="C28" s="1" t="str">
        <f aca="false">Wording_Ranks!C20</f>
        <v>Cardiovascular</v>
      </c>
      <c r="D28" s="1" t="str">
        <f aca="false">Wording_Ranks!D20</f>
        <v>Medium</v>
      </c>
      <c r="E28" s="1" t="str">
        <f aca="false">Wording_Ranks!F20</f>
        <v>Full</v>
      </c>
      <c r="F28" s="1" t="str">
        <f aca="false">Wording_Ranks!H20</f>
        <v>Full</v>
      </c>
      <c r="G28" s="1" t="str">
        <f aca="false">Wording_Ranks!J20</f>
        <v>Full</v>
      </c>
      <c r="H28" s="1" t="str">
        <f aca="false">Wording_Ranks!M20</f>
        <v>Full</v>
      </c>
      <c r="I28" s="1" t="str">
        <f aca="false">Wording_Ranks!O20</f>
        <v>Full</v>
      </c>
      <c r="J28" s="98" t="n">
        <f aca="false">IF(OR($E28="Not covered",$E28="Child-only"),0,IF($E28="Full",1,IF($E28="Ancillary",MAX(0.1,MIN(0.5,IF($AN$7="",0.5*$C$4,$AN$7)/$C$4)),MIN(0.5,IF($AN$7="",0.5*$C$4,$AN$7)/$C$4))))</f>
        <v>1</v>
      </c>
      <c r="K28" s="98" t="n">
        <f aca="false">IF(OR($F28="Not covered",$F28="Child-only"),0,IF($F28="Full",1,IF($AD28="Y",$AE28,IF($F28="Ancillary",MAX(0.1,MIN(0.5,IF($AO$7="",0.5*$C$4,$AO$7)/$C$4)),MIN(0.5,IF($AO$7="",0.5*$C$4,$AO$7)/$C$4)))))</f>
        <v>1</v>
      </c>
      <c r="L28" s="98" t="n">
        <f aca="false">IF(OR($G28="Not covered",$G28="Child-only"),0,IF($G28="Full",1,IF($G28="Ancillary",MAX(0.1,MIN(0.5,IF($AS28&lt;&gt;"",$AS28,IF($AP$7="",0.5*$C$4,$AP$7))/$C$4)),MIN(0.5,IF($AS28&lt;&gt;"",$AS28,IF($AP$7="",0.5*$C$4,$AP$7))/$C$4))))</f>
        <v>1</v>
      </c>
      <c r="M28" s="98" t="n">
        <f aca="false">IF(OR($H28="Not covered",$H28="Child-only"),0,IF($H28="Full",1,IF($H28="Ancillary",MAX(0.1,MIN(0.5,IF($AM28&lt;&gt;"",$AM28,IF($AQ$7="",0.5*$C$4,$AQ$7))/$C$4)),MIN(0.5,IF($AM28&lt;&gt;"",$AM28,IF($AQ$7="",0.5*$C$4,$AQ$7))/$C$4))))</f>
        <v>1</v>
      </c>
      <c r="N28" s="98" t="n">
        <f aca="false">IF(OR($I28="Not covered",$I28="Child-only"),0,IF($I28="Full",1,IF($I28="Ancillary",MAX(0.1,MIN(0.5,IF($AR$7="",0.5*$C$4,$AR$7)/$C$4)),MIN(0.5,IF($AR$7="",0.5*$C$4,$AR$7)/$C$4))))</f>
        <v>1</v>
      </c>
      <c r="O28" s="1" t="n">
        <f aca="false">IF(OR($AF$7="",$AG$7=""),"",MAX(AF28/$AF$7,AG28/$AG$7)*100000*IF(AI28="",1,AI28))</f>
        <v>69.5871625602509</v>
      </c>
      <c r="P28" s="1" t="n">
        <f aca="false">IF(O28="","",1-EXP(-O28/100000))</f>
        <v>0.000695629563094213</v>
      </c>
      <c r="Q28" s="1" t="s">
        <v>965</v>
      </c>
      <c r="R28" s="1" t="s">
        <v>1137</v>
      </c>
      <c r="S28" s="1" t="n">
        <f aca="false">IF($P28="","",$P28*J28*$C$4*$C$5)</f>
        <v>2195.17807883405</v>
      </c>
      <c r="T28" s="1" t="n">
        <f aca="false">IF($P28="","",$P28*K28*$C$4*$C$5)</f>
        <v>2195.17807883405</v>
      </c>
      <c r="U28" s="1" t="n">
        <f aca="false">IF($P28="","",$P28*L28*$C$4*$C$5)</f>
        <v>2195.17807883405</v>
      </c>
      <c r="V28" s="1" t="n">
        <f aca="false">IF($P28="","",$P28*M28*$C$4*$C$5)</f>
        <v>2195.17807883405</v>
      </c>
      <c r="W28" s="1" t="n">
        <f aca="false">IF($P28="","",$P28*N28*$C$4*$C$5)</f>
        <v>2195.17807883405</v>
      </c>
      <c r="X28" s="1" t="n">
        <f aca="false">IF(S28="","",S28/$E$7)</f>
        <v>0.136758991271168</v>
      </c>
      <c r="Y28" s="1" t="n">
        <f aca="false">IF(T28="","",T28/$F$7)</f>
        <v>0.200363629638639</v>
      </c>
      <c r="Z28" s="1" t="n">
        <f aca="false">IF(U28="","",U28/$G$7)</f>
        <v>0.363007185403091</v>
      </c>
      <c r="AA28" s="1" t="n">
        <f aca="false">IF(V28="","",V28/$H$7)</f>
        <v>0.154375165730577</v>
      </c>
      <c r="AB28" s="1" t="n">
        <f aca="false">IF(W28="","",W28/$I$7)</f>
        <v>0.145577330576985</v>
      </c>
      <c r="AC28" s="1" t="str">
        <f aca="false">IF(COUNTIF(X28:AB28,"&gt;="&amp;$C$6)&gt;0,"PROMOTE","")</f>
        <v>PROMOTE</v>
      </c>
      <c r="AD28" s="1" t="str">
        <f aca="false">IF(COUNTIF(Sources_06!$B$33:$B$73,A28)&gt;0,"Y","")</f>
        <v/>
      </c>
      <c r="AE28" s="1" t="str">
        <f aca="false">IF(AD28="Y",MIN(0.5,Sources_06!$D$11/$C$4),"")</f>
        <v/>
      </c>
      <c r="AF28" s="1" t="n">
        <v>41</v>
      </c>
      <c r="AG28" s="1" t="n">
        <v>900</v>
      </c>
      <c r="AH28" s="1" t="s">
        <v>1148</v>
      </c>
      <c r="AJ28" s="1" t="s">
        <v>1149</v>
      </c>
      <c r="AK28" s="1" t="n">
        <v>33</v>
      </c>
      <c r="AL28" s="1" t="n">
        <v>66377</v>
      </c>
    </row>
    <row r="29" customFormat="false" ht="15" hidden="false" customHeight="true" outlineLevel="0" collapsed="false">
      <c r="A29" s="1" t="n">
        <v>21</v>
      </c>
      <c r="B29" s="1" t="str">
        <f aca="false">Wording_Ranks!B22</f>
        <v>Heart Failure</v>
      </c>
      <c r="C29" s="1" t="str">
        <f aca="false">Wording_Ranks!C22</f>
        <v>Cardiovascular</v>
      </c>
      <c r="D29" s="1" t="str">
        <f aca="false">Wording_Ranks!D22</f>
        <v>Medium</v>
      </c>
      <c r="E29" s="1" t="str">
        <f aca="false">Wording_Ranks!F22</f>
        <v>Not covered</v>
      </c>
      <c r="F29" s="1" t="str">
        <f aca="false">Wording_Ranks!H22</f>
        <v>Not covered</v>
      </c>
      <c r="G29" s="1" t="str">
        <f aca="false">Wording_Ranks!J22</f>
        <v>Not covered</v>
      </c>
      <c r="H29" s="1" t="str">
        <f aca="false">Wording_Ranks!M22</f>
        <v>Partial</v>
      </c>
      <c r="I29" s="1" t="str">
        <f aca="false">Wording_Ranks!O22</f>
        <v>Not covered</v>
      </c>
      <c r="J29" s="98" t="n">
        <f aca="false">IF(OR($E29="Not covered",$E29="Child-only"),0,IF($E29="Full",1,IF($E29="Ancillary",MAX(0.1,MIN(0.5,IF($AN$7="",0.5*$C$4,$AN$7)/$C$4)),MIN(0.5,IF($AN$7="",0.5*$C$4,$AN$7)/$C$4))))</f>
        <v>0</v>
      </c>
      <c r="K29" s="98" t="n">
        <f aca="false">IF(OR($F29="Not covered",$F29="Child-only"),0,IF($F29="Full",1,IF($AD29="Y",$AE29,IF($F29="Ancillary",MAX(0.1,MIN(0.5,IF($AO$7="",0.5*$C$4,$AO$7)/$C$4)),MIN(0.5,IF($AO$7="",0.5*$C$4,$AO$7)/$C$4)))))</f>
        <v>0</v>
      </c>
      <c r="L29" s="98" t="n">
        <f aca="false">IF(OR($G29="Not covered",$G29="Child-only"),0,IF($G29="Full",1,IF($G29="Ancillary",MAX(0.1,MIN(0.5,IF($AS29&lt;&gt;"",$AS29,IF($AP$7="",0.5*$C$4,$AP$7))/$C$4)),MIN(0.5,IF($AS29&lt;&gt;"",$AS29,IF($AP$7="",0.5*$C$4,$AP$7))/$C$4))))</f>
        <v>0</v>
      </c>
      <c r="M29" s="98" t="n">
        <f aca="false">IF(OR($H29="Not covered",$H29="Child-only"),0,IF($H29="Full",1,IF($H29="Ancillary",MAX(0.1,MIN(0.5,IF($AM29&lt;&gt;"",$AM29,IF($AQ$7="",0.5*$C$4,$AQ$7))/$C$4)),MIN(0.5,IF($AM29&lt;&gt;"",$AM29,IF($AQ$7="",0.5*$C$4,$AQ$7))/$C$4))))</f>
        <v>0.093167701863354</v>
      </c>
      <c r="N29" s="98" t="n">
        <f aca="false">IF(OR($I29="Not covered",$I29="Child-only"),0,IF($I29="Full",1,IF($I29="Ancillary",MAX(0.1,MIN(0.5,IF($AR$7="",0.5*$C$4,$AR$7)/$C$4)),MIN(0.5,IF($AR$7="",0.5*$C$4,$AR$7)/$C$4))))</f>
        <v>0</v>
      </c>
      <c r="O29" s="1" t="n">
        <f aca="false">IF(OR($AF$7="",$AG$7=""),"",MAX(AF29/$AF$7,AG29/$AG$7)*100000*IF(AI29="",1,AI29))</f>
        <v>227.008788085441</v>
      </c>
      <c r="P29" s="1" t="n">
        <f aca="false">IF(O29="","",1-EXP(-O29/100000))</f>
        <v>0.0022675131799953</v>
      </c>
      <c r="Q29" s="1" t="s">
        <v>965</v>
      </c>
      <c r="R29" s="1" t="s">
        <v>1137</v>
      </c>
      <c r="S29" s="1" t="n">
        <f aca="false">IF($P29="","",$P29*J29*$C$4*$C$5)</f>
        <v>0</v>
      </c>
      <c r="T29" s="1" t="n">
        <f aca="false">IF($P29="","",$P29*K29*$C$4*$C$5)</f>
        <v>0</v>
      </c>
      <c r="U29" s="1" t="n">
        <f aca="false">IF($P29="","",$P29*L29*$C$4*$C$5)</f>
        <v>0</v>
      </c>
      <c r="V29" s="1" t="n">
        <f aca="false">IF($P29="","",$P29*M29*$C$4*$C$5)</f>
        <v>666.663886404712</v>
      </c>
      <c r="W29" s="1" t="n">
        <f aca="false">IF($P29="","",$P29*N29*$C$4*$C$5)</f>
        <v>0</v>
      </c>
      <c r="X29" s="1" t="n">
        <f aca="false">IF(S29="","",S29/$E$7)</f>
        <v>0</v>
      </c>
      <c r="Y29" s="1" t="n">
        <f aca="false">IF(T29="","",T29/$F$7)</f>
        <v>0</v>
      </c>
      <c r="Z29" s="1" t="n">
        <f aca="false">IF(U29="","",U29/$G$7)</f>
        <v>0</v>
      </c>
      <c r="AA29" s="1" t="n">
        <f aca="false">IF(V29="","",V29/$H$7)</f>
        <v>0.0468829153054322</v>
      </c>
      <c r="AB29" s="1" t="n">
        <f aca="false">IF(W29="","",W29/$I$7)</f>
        <v>0</v>
      </c>
      <c r="AC29" s="1" t="str">
        <f aca="false">IF(COUNTIF(X29:AB29,"&gt;="&amp;$C$6)&gt;0,"PROMOTE","")</f>
        <v>PROMOTE</v>
      </c>
      <c r="AD29" s="1" t="str">
        <f aca="false">IF(COUNTIF(Sources_06!$B$33:$B$73,A29)&gt;0,"Y","")</f>
        <v/>
      </c>
      <c r="AE29" s="1" t="str">
        <f aca="false">IF(AD29="Y",MIN(0.5,Sources_06!$D$11/$C$4),"")</f>
        <v/>
      </c>
      <c r="AF29" s="1" t="n">
        <v>432</v>
      </c>
      <c r="AG29" s="1" t="n">
        <v>2936</v>
      </c>
      <c r="AH29" s="1" t="s">
        <v>1150</v>
      </c>
      <c r="AJ29" s="1" t="s">
        <v>1151</v>
      </c>
      <c r="AK29" s="1" t="n">
        <v>34</v>
      </c>
      <c r="AL29" s="1" t="n">
        <v>69405</v>
      </c>
    </row>
    <row r="30" customFormat="false" ht="15" hidden="false" customHeight="true" outlineLevel="0" collapsed="false">
      <c r="A30" s="1" t="n">
        <v>22</v>
      </c>
      <c r="B30" s="1" t="str">
        <f aca="false">Wording_Ranks!B23</f>
        <v>Heart Structural Repair</v>
      </c>
      <c r="C30" s="1" t="str">
        <f aca="false">Wording_Ranks!C23</f>
        <v>Cardiovascular</v>
      </c>
      <c r="D30" s="1" t="str">
        <f aca="false">Wording_Ranks!D23</f>
        <v>Low</v>
      </c>
      <c r="E30" s="1" t="str">
        <f aca="false">Wording_Ranks!F23</f>
        <v>Not covered</v>
      </c>
      <c r="F30" s="1" t="str">
        <f aca="false">Wording_Ranks!H23</f>
        <v>Full</v>
      </c>
      <c r="G30" s="1" t="str">
        <f aca="false">Wording_Ranks!J23</f>
        <v>Full</v>
      </c>
      <c r="H30" s="1" t="str">
        <f aca="false">Wording_Ranks!M23</f>
        <v>Full</v>
      </c>
      <c r="I30" s="1" t="str">
        <f aca="false">Wording_Ranks!O23</f>
        <v>Full</v>
      </c>
      <c r="J30" s="98" t="n">
        <f aca="false">IF(OR($E30="Not covered",$E30="Child-only"),0,IF($E30="Full",1,IF($E30="Ancillary",MAX(0.1,MIN(0.5,IF($AN$7="",0.5*$C$4,$AN$7)/$C$4)),MIN(0.5,IF($AN$7="",0.5*$C$4,$AN$7)/$C$4))))</f>
        <v>0</v>
      </c>
      <c r="K30" s="98" t="n">
        <f aca="false">IF(OR($F30="Not covered",$F30="Child-only"),0,IF($F30="Full",1,IF($AD30="Y",$AE30,IF($F30="Ancillary",MAX(0.1,MIN(0.5,IF($AO$7="",0.5*$C$4,$AO$7)/$C$4)),MIN(0.5,IF($AO$7="",0.5*$C$4,$AO$7)/$C$4)))))</f>
        <v>1</v>
      </c>
      <c r="L30" s="98" t="n">
        <f aca="false">IF(OR($G30="Not covered",$G30="Child-only"),0,IF($G30="Full",1,IF($G30="Ancillary",MAX(0.1,MIN(0.5,IF($AS30&lt;&gt;"",$AS30,IF($AP$7="",0.5*$C$4,$AP$7))/$C$4)),MIN(0.5,IF($AS30&lt;&gt;"",$AS30,IF($AP$7="",0.5*$C$4,$AP$7))/$C$4))))</f>
        <v>1</v>
      </c>
      <c r="M30" s="98" t="n">
        <f aca="false">IF(OR($H30="Not covered",$H30="Child-only"),0,IF($H30="Full",1,IF($H30="Ancillary",MAX(0.1,MIN(0.5,IF($AM30&lt;&gt;"",$AM30,IF($AQ$7="",0.5*$C$4,$AQ$7))/$C$4)),MIN(0.5,IF($AM30&lt;&gt;"",$AM30,IF($AQ$7="",0.5*$C$4,$AQ$7))/$C$4))))</f>
        <v>1</v>
      </c>
      <c r="N30" s="98" t="n">
        <f aca="false">IF(OR($I30="Not covered",$I30="Child-only"),0,IF($I30="Full",1,IF($I30="Ancillary",MAX(0.1,MIN(0.5,IF($AR$7="",0.5*$C$4,$AR$7)/$C$4)),MIN(0.5,IF($AR$7="",0.5*$C$4,$AR$7)/$C$4))))</f>
        <v>1</v>
      </c>
      <c r="P30" s="1" t="str">
        <f aca="false">IF(O30="","",1-EXP(-O30/100000))</f>
        <v/>
      </c>
      <c r="R30" s="1" t="s">
        <v>822</v>
      </c>
      <c r="S30" s="1" t="str">
        <f aca="false">IF($P30="","",$P30*J30*$C$4*$C$5)</f>
        <v/>
      </c>
      <c r="T30" s="1" t="str">
        <f aca="false">IF($P30="","",$P30*K30*$C$4*$C$5)</f>
        <v/>
      </c>
      <c r="U30" s="1" t="str">
        <f aca="false">IF($P30="","",$P30*L30*$C$4*$C$5)</f>
        <v/>
      </c>
      <c r="V30" s="1" t="str">
        <f aca="false">IF($P30="","",$P30*M30*$C$4*$C$5)</f>
        <v/>
      </c>
      <c r="W30" s="1" t="str">
        <f aca="false">IF($P30="","",$P30*N30*$C$4*$C$5)</f>
        <v/>
      </c>
      <c r="X30" s="1" t="str">
        <f aca="false">IF(S30="","",S30/$E$7)</f>
        <v/>
      </c>
      <c r="Y30" s="1" t="str">
        <f aca="false">IF(T30="","",T30/$F$7)</f>
        <v/>
      </c>
      <c r="Z30" s="1" t="str">
        <f aca="false">IF(U30="","",U30/$G$7)</f>
        <v/>
      </c>
      <c r="AA30" s="1" t="str">
        <f aca="false">IF(V30="","",V30/$H$7)</f>
        <v/>
      </c>
      <c r="AB30" s="1" t="str">
        <f aca="false">IF(W30="","",W30/$I$7)</f>
        <v/>
      </c>
      <c r="AC30" s="1" t="str">
        <f aca="false">IF(COUNTIF(X30:AB30,"&gt;="&amp;$C$6)&gt;0,"PROMOTE","")</f>
        <v/>
      </c>
      <c r="AD30" s="1" t="str">
        <f aca="false">IF(COUNTIF(Sources_06!$B$33:$B$73,A30)&gt;0,"Y","")</f>
        <v/>
      </c>
      <c r="AE30" s="1" t="str">
        <f aca="false">IF(AD30="Y",MIN(0.5,Sources_06!$D$11/$C$4),"")</f>
        <v/>
      </c>
      <c r="AK30" s="1" t="n">
        <v>35</v>
      </c>
      <c r="AL30" s="1" t="n">
        <v>72635</v>
      </c>
    </row>
    <row r="31" customFormat="false" ht="15" hidden="false" customHeight="true" outlineLevel="0" collapsed="false">
      <c r="A31" s="1" t="n">
        <v>23</v>
      </c>
      <c r="B31" s="1" t="str">
        <f aca="false">Wording_Ranks!B24</f>
        <v>Heart Valve Replacement or Repair</v>
      </c>
      <c r="C31" s="1" t="str">
        <f aca="false">Wording_Ranks!C24</f>
        <v>Cardiovascular</v>
      </c>
      <c r="D31" s="1" t="str">
        <f aca="false">Wording_Ranks!D24</f>
        <v>Low</v>
      </c>
      <c r="E31" s="1" t="str">
        <f aca="false">Wording_Ranks!F24</f>
        <v>Full</v>
      </c>
      <c r="F31" s="1" t="str">
        <f aca="false">Wording_Ranks!H24</f>
        <v>Full</v>
      </c>
      <c r="G31" s="1" t="str">
        <f aca="false">Wording_Ranks!J24</f>
        <v>Full</v>
      </c>
      <c r="H31" s="1" t="str">
        <f aca="false">Wording_Ranks!M24</f>
        <v>Full</v>
      </c>
      <c r="I31" s="1" t="str">
        <f aca="false">Wording_Ranks!O24</f>
        <v>Full</v>
      </c>
      <c r="J31" s="98" t="n">
        <f aca="false">IF(OR($E31="Not covered",$E31="Child-only"),0,IF($E31="Full",1,IF($E31="Ancillary",MAX(0.1,MIN(0.5,IF($AN$7="",0.5*$C$4,$AN$7)/$C$4)),MIN(0.5,IF($AN$7="",0.5*$C$4,$AN$7)/$C$4))))</f>
        <v>1</v>
      </c>
      <c r="K31" s="98" t="n">
        <f aca="false">IF(OR($F31="Not covered",$F31="Child-only"),0,IF($F31="Full",1,IF($AD31="Y",$AE31,IF($F31="Ancillary",MAX(0.1,MIN(0.5,IF($AO$7="",0.5*$C$4,$AO$7)/$C$4)),MIN(0.5,IF($AO$7="",0.5*$C$4,$AO$7)/$C$4)))))</f>
        <v>1</v>
      </c>
      <c r="L31" s="98" t="n">
        <f aca="false">IF(OR($G31="Not covered",$G31="Child-only"),0,IF($G31="Full",1,IF($G31="Ancillary",MAX(0.1,MIN(0.5,IF($AS31&lt;&gt;"",$AS31,IF($AP$7="",0.5*$C$4,$AP$7))/$C$4)),MIN(0.5,IF($AS31&lt;&gt;"",$AS31,IF($AP$7="",0.5*$C$4,$AP$7))/$C$4))))</f>
        <v>1</v>
      </c>
      <c r="M31" s="98" t="n">
        <f aca="false">IF(OR($H31="Not covered",$H31="Child-only"),0,IF($H31="Full",1,IF($H31="Ancillary",MAX(0.1,MIN(0.5,IF($AM31&lt;&gt;"",$AM31,IF($AQ$7="",0.5*$C$4,$AQ$7))/$C$4)),MIN(0.5,IF($AM31&lt;&gt;"",$AM31,IF($AQ$7="",0.5*$C$4,$AQ$7))/$C$4))))</f>
        <v>1</v>
      </c>
      <c r="N31" s="98" t="n">
        <f aca="false">IF(OR($I31="Not covered",$I31="Child-only"),0,IF($I31="Full",1,IF($I31="Ancillary",MAX(0.1,MIN(0.5,IF($AR$7="",0.5*$C$4,$AR$7)/$C$4)),MIN(0.5,IF($AR$7="",0.5*$C$4,$AR$7)/$C$4))))</f>
        <v>1</v>
      </c>
      <c r="O31" s="1" t="n">
        <f aca="false">IF(OR($AF$7="",$AG$7=""),"",MAX(AF31/$AF$7,AG31/$AG$7)*100000*IF(AI31="",1,AI31))</f>
        <v>2410.49931108709</v>
      </c>
      <c r="P31" s="1" t="n">
        <f aca="false">IF(O31="","",1-EXP(-O31/100000))</f>
        <v>0.0238167881349766</v>
      </c>
      <c r="Q31" s="1" t="s">
        <v>965</v>
      </c>
      <c r="R31" s="1" t="s">
        <v>1137</v>
      </c>
      <c r="S31" s="1" t="n">
        <f aca="false">IF($P31="","",$P31*J31*$C$4*$C$5)</f>
        <v>75157.9489945493</v>
      </c>
      <c r="T31" s="1" t="n">
        <f aca="false">IF($P31="","",$P31*K31*$C$4*$C$5)</f>
        <v>75157.9489945493</v>
      </c>
      <c r="U31" s="1" t="n">
        <f aca="false">IF($P31="","",$P31*L31*$C$4*$C$5)</f>
        <v>75157.9489945493</v>
      </c>
      <c r="V31" s="1" t="n">
        <f aca="false">IF($P31="","",$P31*M31*$C$4*$C$5)</f>
        <v>75157.9489945493</v>
      </c>
      <c r="W31" s="1" t="n">
        <f aca="false">IF($P31="","",$P31*N31*$C$4*$C$5)</f>
        <v>75157.9489945493</v>
      </c>
      <c r="X31" s="1" t="n">
        <f aca="false">IF(S31="","",S31/$E$7)</f>
        <v>4.68231957562358</v>
      </c>
      <c r="Y31" s="1" t="n">
        <f aca="false">IF(T31="","",T31/$F$7)</f>
        <v>6.85999901417656</v>
      </c>
      <c r="Z31" s="1" t="n">
        <f aca="false">IF(U31="","",U31/$G$7)</f>
        <v>12.4285477284246</v>
      </c>
      <c r="AA31" s="1" t="n">
        <f aca="false">IF(V31="","",V31/$H$7)</f>
        <v>5.28545767829752</v>
      </c>
      <c r="AB31" s="1" t="n">
        <f aca="false">IF(W31="","",W31/$I$7)</f>
        <v>4.98423963493614</v>
      </c>
      <c r="AC31" s="1" t="str">
        <f aca="false">IF(COUNTIF(X31:AB31,"&gt;="&amp;$C$6)&gt;0,"PROMOTE","")</f>
        <v>PROMOTE</v>
      </c>
      <c r="AD31" s="1" t="str">
        <f aca="false">IF(COUNTIF(Sources_06!$B$33:$B$73,A31)&gt;0,"Y","")</f>
        <v/>
      </c>
      <c r="AE31" s="1" t="str">
        <f aca="false">IF(AD31="Y",MIN(0.5,Sources_06!$D$11/$C$4),"")</f>
        <v/>
      </c>
      <c r="AF31" s="1" t="n">
        <v>9530</v>
      </c>
      <c r="AG31" s="1" t="n">
        <v>31176</v>
      </c>
      <c r="AH31" s="1" t="s">
        <v>1152</v>
      </c>
      <c r="AJ31" s="1" t="s">
        <v>1141</v>
      </c>
      <c r="AK31" s="1" t="n">
        <v>36</v>
      </c>
      <c r="AL31" s="1" t="n">
        <v>74858</v>
      </c>
    </row>
    <row r="32" customFormat="false" ht="15" hidden="false" customHeight="true" outlineLevel="0" collapsed="false">
      <c r="A32" s="1" t="n">
        <v>24</v>
      </c>
      <c r="B32" s="1" t="str">
        <f aca="false">Wording_Ranks!B25</f>
        <v>Implantable Cardioverter Defibrillator (ICD) – for Primary Prevention</v>
      </c>
      <c r="C32" s="1" t="str">
        <f aca="false">Wording_Ranks!C25</f>
        <v>Cardiovascular</v>
      </c>
      <c r="D32" s="1" t="str">
        <f aca="false">Wording_Ranks!D25</f>
        <v>Low</v>
      </c>
      <c r="E32" s="1" t="str">
        <f aca="false">Wording_Ranks!F25</f>
        <v>Partial</v>
      </c>
      <c r="F32" s="1" t="str">
        <f aca="false">Wording_Ranks!H25</f>
        <v>Partial</v>
      </c>
      <c r="G32" s="1" t="str">
        <f aca="false">Wording_Ranks!J25</f>
        <v>Partial</v>
      </c>
      <c r="H32" s="1" t="str">
        <f aca="false">Wording_Ranks!M25</f>
        <v>Partial</v>
      </c>
      <c r="I32" s="1" t="str">
        <f aca="false">Wording_Ranks!O25</f>
        <v>Partial</v>
      </c>
      <c r="J32" s="98" t="n">
        <f aca="false">IF(OR($E32="Not covered",$E32="Child-only"),0,IF($E32="Full",1,IF($E32="Ancillary",MAX(0.1,MIN(0.5,IF($AN$7="",0.5*$C$4,$AN$7)/$C$4)),MIN(0.5,IF($AN$7="",0.5*$C$4,$AN$7)/$C$4))))</f>
        <v>0.124223602484472</v>
      </c>
      <c r="K32" s="98" t="n">
        <f aca="false">IF(OR($F32="Not covered",$F32="Child-only"),0,IF($F32="Full",1,IF($AD32="Y",$AE32,IF($F32="Ancillary",MAX(0.1,MIN(0.5,IF($AO$7="",0.5*$C$4,$AO$7)/$C$4)),MIN(0.5,IF($AO$7="",0.5*$C$4,$AO$7)/$C$4)))))</f>
        <v>0.093167701863354</v>
      </c>
      <c r="L32" s="98" t="n">
        <f aca="false">IF(OR($G32="Not covered",$G32="Child-only"),0,IF($G32="Full",1,IF($G32="Ancillary",MAX(0.1,MIN(0.5,IF($AS32&lt;&gt;"",$AS32,IF($AP$7="",0.5*$C$4,$AP$7))/$C$4)),MIN(0.5,IF($AS32&lt;&gt;"",$AS32,IF($AP$7="",0.5*$C$4,$AP$7))/$C$4))))</f>
        <v>0.093167701863354</v>
      </c>
      <c r="M32" s="98" t="n">
        <f aca="false">IF(OR($H32="Not covered",$H32="Child-only"),0,IF($H32="Full",1,IF($H32="Ancillary",MAX(0.1,MIN(0.5,IF($AM32&lt;&gt;"",$AM32,IF($AQ$7="",0.5*$C$4,$AQ$7))/$C$4)),MIN(0.5,IF($AM32&lt;&gt;"",$AM32,IF($AQ$7="",0.5*$C$4,$AQ$7))/$C$4))))</f>
        <v>0.093167701863354</v>
      </c>
      <c r="N32" s="98" t="n">
        <f aca="false">IF(OR($I32="Not covered",$I32="Child-only"),0,IF($I32="Full",1,IF($I32="Ancillary",MAX(0.1,MIN(0.5,IF($AR$7="",0.5*$C$4,$AR$7)/$C$4)),MIN(0.5,IF($AR$7="",0.5*$C$4,$AR$7)/$C$4))))</f>
        <v>0.093167701863354</v>
      </c>
      <c r="O32" s="1" t="n">
        <f aca="false">IF(OR($AF$7="",$AG$7=""),"",MAX(AF32/$AF$7,AG32/$AG$7)*100000*IF(AI32="",1,AI32))</f>
        <v>2410.49931108709</v>
      </c>
      <c r="P32" s="1" t="n">
        <f aca="false">IF(O32="","",1-EXP(-O32/100000))</f>
        <v>0.0238167881349766</v>
      </c>
      <c r="Q32" s="1" t="s">
        <v>965</v>
      </c>
      <c r="R32" s="1" t="s">
        <v>1137</v>
      </c>
      <c r="S32" s="1" t="n">
        <f aca="false">IF($P32="","",$P32*J32*$C$4*$C$5)</f>
        <v>9336.39117944711</v>
      </c>
      <c r="T32" s="1" t="n">
        <f aca="false">IF($P32="","",$P32*K32*$C$4*$C$5)</f>
        <v>7002.29338458533</v>
      </c>
      <c r="U32" s="1" t="n">
        <f aca="false">IF($P32="","",$P32*L32*$C$4*$C$5)</f>
        <v>7002.29338458533</v>
      </c>
      <c r="V32" s="1" t="n">
        <f aca="false">IF($P32="","",$P32*M32*$C$4*$C$5)</f>
        <v>7002.29338458533</v>
      </c>
      <c r="W32" s="1" t="n">
        <f aca="false">IF($P32="","",$P32*N32*$C$4*$C$5)</f>
        <v>7002.29338458533</v>
      </c>
      <c r="X32" s="1" t="n">
        <f aca="false">IF(S32="","",S32/$E$7)</f>
        <v>0.581654605667526</v>
      </c>
      <c r="Y32" s="1" t="n">
        <f aca="false">IF(T32="","",T32/$F$7)</f>
        <v>0.639130342935704</v>
      </c>
      <c r="Z32" s="1" t="n">
        <f aca="false">IF(U32="","",U32/$G$7)</f>
        <v>1.15793922935633</v>
      </c>
      <c r="AA32" s="1" t="n">
        <f aca="false">IF(V32="","",V32/$H$7)</f>
        <v>0.492433945182998</v>
      </c>
      <c r="AB32" s="1" t="n">
        <f aca="false">IF(W32="","",W32/$I$7)</f>
        <v>0.464370152323243</v>
      </c>
      <c r="AC32" s="1" t="str">
        <f aca="false">IF(COUNTIF(X32:AB32,"&gt;="&amp;$C$6)&gt;0,"PROMOTE","")</f>
        <v>PROMOTE</v>
      </c>
      <c r="AD32" s="1" t="str">
        <f aca="false">IF(COUNTIF(Sources_06!$B$33:$B$73,A32)&gt;0,"Y","")</f>
        <v>Y</v>
      </c>
      <c r="AE32" s="1" t="n">
        <f aca="false">IF(AD32="Y",MIN(0.5,Sources_06!$D$11/$C$4),"")</f>
        <v>0.093167701863354</v>
      </c>
      <c r="AF32" s="1" t="n">
        <v>9530</v>
      </c>
      <c r="AG32" s="1" t="n">
        <v>31176</v>
      </c>
      <c r="AH32" s="1" t="s">
        <v>1153</v>
      </c>
      <c r="AJ32" s="1" t="s">
        <v>1141</v>
      </c>
      <c r="AK32" s="1" t="n">
        <v>37</v>
      </c>
      <c r="AL32" s="1" t="n">
        <v>75620</v>
      </c>
    </row>
    <row r="33" customFormat="false" ht="15" hidden="false" customHeight="true" outlineLevel="0" collapsed="false">
      <c r="A33" s="1" t="n">
        <v>25</v>
      </c>
      <c r="B33" s="1" t="str">
        <f aca="false">Wording_Ranks!B26</f>
        <v>Open Heart Surgery – with Surgery to Divide the Breastbone</v>
      </c>
      <c r="C33" s="1" t="str">
        <f aca="false">Wording_Ranks!C26</f>
        <v>Cardiovascular</v>
      </c>
      <c r="D33" s="1" t="str">
        <f aca="false">Wording_Ranks!D26</f>
        <v>Low</v>
      </c>
      <c r="E33" s="1" t="str">
        <f aca="false">Wording_Ranks!F26</f>
        <v>Full</v>
      </c>
      <c r="F33" s="1" t="str">
        <f aca="false">Wording_Ranks!H26</f>
        <v>Not covered</v>
      </c>
      <c r="G33" s="1" t="str">
        <f aca="false">Wording_Ranks!J26</f>
        <v>Not covered</v>
      </c>
      <c r="H33" s="1" t="str">
        <f aca="false">Wording_Ranks!M26</f>
        <v>Not covered</v>
      </c>
      <c r="I33" s="1" t="str">
        <f aca="false">Wording_Ranks!O26</f>
        <v>Not covered</v>
      </c>
      <c r="J33" s="98" t="n">
        <f aca="false">IF(OR($E33="Not covered",$E33="Child-only"),0,IF($E33="Full",1,IF($E33="Ancillary",MAX(0.1,MIN(0.5,IF($AN$7="",0.5*$C$4,$AN$7)/$C$4)),MIN(0.5,IF($AN$7="",0.5*$C$4,$AN$7)/$C$4))))</f>
        <v>1</v>
      </c>
      <c r="K33" s="98" t="n">
        <f aca="false">IF(OR($F33="Not covered",$F33="Child-only"),0,IF($F33="Full",1,IF($AD33="Y",$AE33,IF($F33="Ancillary",MAX(0.1,MIN(0.5,IF($AO$7="",0.5*$C$4,$AO$7)/$C$4)),MIN(0.5,IF($AO$7="",0.5*$C$4,$AO$7)/$C$4)))))</f>
        <v>0</v>
      </c>
      <c r="L33" s="98" t="n">
        <f aca="false">IF(OR($G33="Not covered",$G33="Child-only"),0,IF($G33="Full",1,IF($G33="Ancillary",MAX(0.1,MIN(0.5,IF($AS33&lt;&gt;"",$AS33,IF($AP$7="",0.5*$C$4,$AP$7))/$C$4)),MIN(0.5,IF($AS33&lt;&gt;"",$AS33,IF($AP$7="",0.5*$C$4,$AP$7))/$C$4))))</f>
        <v>0</v>
      </c>
      <c r="M33" s="98" t="n">
        <f aca="false">IF(OR($H33="Not covered",$H33="Child-only"),0,IF($H33="Full",1,IF($H33="Ancillary",MAX(0.1,MIN(0.5,IF($AM33&lt;&gt;"",$AM33,IF($AQ$7="",0.5*$C$4,$AQ$7))/$C$4)),MIN(0.5,IF($AM33&lt;&gt;"",$AM33,IF($AQ$7="",0.5*$C$4,$AQ$7))/$C$4))))</f>
        <v>0</v>
      </c>
      <c r="N33" s="98" t="n">
        <f aca="false">IF(OR($I33="Not covered",$I33="Child-only"),0,IF($I33="Full",1,IF($I33="Ancillary",MAX(0.1,MIN(0.5,IF($AR$7="",0.5*$C$4,$AR$7)/$C$4)),MIN(0.5,IF($AR$7="",0.5*$C$4,$AR$7)/$C$4))))</f>
        <v>0</v>
      </c>
      <c r="P33" s="1" t="str">
        <f aca="false">IF(O33="","",1-EXP(-O33/100000))</f>
        <v/>
      </c>
      <c r="R33" s="1" t="s">
        <v>822</v>
      </c>
      <c r="S33" s="1" t="str">
        <f aca="false">IF($P33="","",$P33*J33*$C$4*$C$5)</f>
        <v/>
      </c>
      <c r="T33" s="1" t="str">
        <f aca="false">IF($P33="","",$P33*K33*$C$4*$C$5)</f>
        <v/>
      </c>
      <c r="U33" s="1" t="str">
        <f aca="false">IF($P33="","",$P33*L33*$C$4*$C$5)</f>
        <v/>
      </c>
      <c r="V33" s="1" t="str">
        <f aca="false">IF($P33="","",$P33*M33*$C$4*$C$5)</f>
        <v/>
      </c>
      <c r="W33" s="1" t="str">
        <f aca="false">IF($P33="","",$P33*N33*$C$4*$C$5)</f>
        <v/>
      </c>
      <c r="X33" s="1" t="str">
        <f aca="false">IF(S33="","",S33/$E$7)</f>
        <v/>
      </c>
      <c r="Y33" s="1" t="str">
        <f aca="false">IF(T33="","",T33/$F$7)</f>
        <v/>
      </c>
      <c r="Z33" s="1" t="str">
        <f aca="false">IF(U33="","",U33/$G$7)</f>
        <v/>
      </c>
      <c r="AA33" s="1" t="str">
        <f aca="false">IF(V33="","",V33/$H$7)</f>
        <v/>
      </c>
      <c r="AB33" s="1" t="str">
        <f aca="false">IF(W33="","",W33/$I$7)</f>
        <v/>
      </c>
      <c r="AC33" s="1" t="str">
        <f aca="false">IF(COUNTIF(X33:AB33,"&gt;="&amp;$C$6)&gt;0,"PROMOTE","")</f>
        <v/>
      </c>
      <c r="AD33" s="1" t="str">
        <f aca="false">IF(COUNTIF(Sources_06!$B$33:$B$73,A33)&gt;0,"Y","")</f>
        <v/>
      </c>
      <c r="AE33" s="1" t="str">
        <f aca="false">IF(AD33="Y",MIN(0.5,Sources_06!$D$11/$C$4),"")</f>
        <v/>
      </c>
      <c r="AK33" s="1" t="n">
        <v>38</v>
      </c>
      <c r="AL33" s="1" t="n">
        <v>78415</v>
      </c>
    </row>
    <row r="34" customFormat="false" ht="15" hidden="false" customHeight="true" outlineLevel="0" collapsed="false">
      <c r="A34" s="1" t="n">
        <v>26</v>
      </c>
      <c r="B34" s="1" t="str">
        <f aca="false">Wording_Ranks!B27</f>
        <v>Peripheral Vascular Disease – with Surgery or Angioplasty</v>
      </c>
      <c r="C34" s="1" t="str">
        <f aca="false">Wording_Ranks!C27</f>
        <v>Cardiovascular</v>
      </c>
      <c r="D34" s="1" t="str">
        <f aca="false">Wording_Ranks!D27</f>
        <v>Low</v>
      </c>
      <c r="E34" s="1" t="str">
        <f aca="false">Wording_Ranks!F27</f>
        <v>Full</v>
      </c>
      <c r="F34" s="1" t="str">
        <f aca="false">Wording_Ranks!H27</f>
        <v>Full</v>
      </c>
      <c r="G34" s="1" t="str">
        <f aca="false">Wording_Ranks!J27</f>
        <v>Full</v>
      </c>
      <c r="H34" s="1" t="str">
        <f aca="false">Wording_Ranks!M27</f>
        <v>Full</v>
      </c>
      <c r="I34" s="1" t="str">
        <f aca="false">Wording_Ranks!O27</f>
        <v>Full</v>
      </c>
      <c r="J34" s="98" t="n">
        <f aca="false">IF(OR($E34="Not covered",$E34="Child-only"),0,IF($E34="Full",1,IF($E34="Ancillary",MAX(0.1,MIN(0.5,IF($AN$7="",0.5*$C$4,$AN$7)/$C$4)),MIN(0.5,IF($AN$7="",0.5*$C$4,$AN$7)/$C$4))))</f>
        <v>1</v>
      </c>
      <c r="K34" s="98" t="n">
        <f aca="false">IF(OR($F34="Not covered",$F34="Child-only"),0,IF($F34="Full",1,IF($AD34="Y",$AE34,IF($F34="Ancillary",MAX(0.1,MIN(0.5,IF($AO$7="",0.5*$C$4,$AO$7)/$C$4)),MIN(0.5,IF($AO$7="",0.5*$C$4,$AO$7)/$C$4)))))</f>
        <v>1</v>
      </c>
      <c r="L34" s="98" t="n">
        <f aca="false">IF(OR($G34="Not covered",$G34="Child-only"),0,IF($G34="Full",1,IF($G34="Ancillary",MAX(0.1,MIN(0.5,IF($AS34&lt;&gt;"",$AS34,IF($AP$7="",0.5*$C$4,$AP$7))/$C$4)),MIN(0.5,IF($AS34&lt;&gt;"",$AS34,IF($AP$7="",0.5*$C$4,$AP$7))/$C$4))))</f>
        <v>1</v>
      </c>
      <c r="M34" s="98" t="n">
        <f aca="false">IF(OR($H34="Not covered",$H34="Child-only"),0,IF($H34="Full",1,IF($H34="Ancillary",MAX(0.1,MIN(0.5,IF($AM34&lt;&gt;"",$AM34,IF($AQ$7="",0.5*$C$4,$AQ$7))/$C$4)),MIN(0.5,IF($AM34&lt;&gt;"",$AM34,IF($AQ$7="",0.5*$C$4,$AQ$7))/$C$4))))</f>
        <v>1</v>
      </c>
      <c r="N34" s="98" t="n">
        <f aca="false">IF(OR($I34="Not covered",$I34="Child-only"),0,IF($I34="Full",1,IF($I34="Ancillary",MAX(0.1,MIN(0.5,IF($AR$7="",0.5*$C$4,$AR$7)/$C$4)),MIN(0.5,IF($AR$7="",0.5*$C$4,$AR$7)/$C$4))))</f>
        <v>1</v>
      </c>
      <c r="O34" s="1" t="n">
        <f aca="false">IF(OR($AF$7="",$AG$7=""),"",MAX(AF34/$AF$7,AG34/$AG$7)*100000*IF(AI34="",1,AI34))</f>
        <v>2410.49931108709</v>
      </c>
      <c r="P34" s="1" t="n">
        <f aca="false">IF(O34="","",1-EXP(-O34/100000))</f>
        <v>0.0238167881349766</v>
      </c>
      <c r="Q34" s="1" t="s">
        <v>965</v>
      </c>
      <c r="R34" s="1" t="s">
        <v>1137</v>
      </c>
      <c r="S34" s="1" t="n">
        <f aca="false">IF($P34="","",$P34*J34*$C$4*$C$5)</f>
        <v>75157.9489945493</v>
      </c>
      <c r="T34" s="1" t="n">
        <f aca="false">IF($P34="","",$P34*K34*$C$4*$C$5)</f>
        <v>75157.9489945493</v>
      </c>
      <c r="U34" s="1" t="n">
        <f aca="false">IF($P34="","",$P34*L34*$C$4*$C$5)</f>
        <v>75157.9489945493</v>
      </c>
      <c r="V34" s="1" t="n">
        <f aca="false">IF($P34="","",$P34*M34*$C$4*$C$5)</f>
        <v>75157.9489945493</v>
      </c>
      <c r="W34" s="1" t="n">
        <f aca="false">IF($P34="","",$P34*N34*$C$4*$C$5)</f>
        <v>75157.9489945493</v>
      </c>
      <c r="X34" s="1" t="n">
        <f aca="false">IF(S34="","",S34/$E$7)</f>
        <v>4.68231957562358</v>
      </c>
      <c r="Y34" s="1" t="n">
        <f aca="false">IF(T34="","",T34/$F$7)</f>
        <v>6.85999901417656</v>
      </c>
      <c r="Z34" s="1" t="n">
        <f aca="false">IF(U34="","",U34/$G$7)</f>
        <v>12.4285477284246</v>
      </c>
      <c r="AA34" s="1" t="n">
        <f aca="false">IF(V34="","",V34/$H$7)</f>
        <v>5.28545767829752</v>
      </c>
      <c r="AB34" s="1" t="n">
        <f aca="false">IF(W34="","",W34/$I$7)</f>
        <v>4.98423963493614</v>
      </c>
      <c r="AC34" s="1" t="str">
        <f aca="false">IF(COUNTIF(X34:AB34,"&gt;="&amp;$C$6)&gt;0,"PROMOTE","")</f>
        <v>PROMOTE</v>
      </c>
      <c r="AD34" s="1" t="str">
        <f aca="false">IF(COUNTIF(Sources_06!$B$33:$B$73,A34)&gt;0,"Y","")</f>
        <v>Y</v>
      </c>
      <c r="AE34" s="1"/>
      <c r="AF34" s="1" t="n">
        <v>9530</v>
      </c>
      <c r="AG34" s="1" t="n">
        <v>31176</v>
      </c>
      <c r="AH34" s="1" t="s">
        <v>1140</v>
      </c>
      <c r="AJ34" s="1" t="s">
        <v>1141</v>
      </c>
      <c r="AK34" s="1" t="n">
        <v>39</v>
      </c>
      <c r="AL34" s="1" t="n">
        <v>81341</v>
      </c>
    </row>
    <row r="35" customFormat="false" ht="15" hidden="false" customHeight="true" outlineLevel="0" collapsed="false">
      <c r="A35" s="1" t="n">
        <v>27</v>
      </c>
      <c r="B35" s="1" t="str">
        <f aca="false">Wording_Ranks!B28</f>
        <v>Permanent Pacemaker Insertion</v>
      </c>
      <c r="C35" s="1" t="str">
        <f aca="false">Wording_Ranks!C28</f>
        <v>Cardiovascular</v>
      </c>
      <c r="D35" s="1" t="str">
        <f aca="false">Wording_Ranks!D28</f>
        <v>Medium</v>
      </c>
      <c r="E35" s="1" t="str">
        <f aca="false">Wording_Ranks!F28</f>
        <v>Not covered</v>
      </c>
      <c r="F35" s="1" t="str">
        <f aca="false">Wording_Ranks!H28</f>
        <v>Partial</v>
      </c>
      <c r="G35" s="1" t="str">
        <f aca="false">Wording_Ranks!J28</f>
        <v>Partial</v>
      </c>
      <c r="H35" s="1" t="str">
        <f aca="false">Wording_Ranks!M28</f>
        <v>Partial</v>
      </c>
      <c r="I35" s="1" t="str">
        <f aca="false">Wording_Ranks!O28</f>
        <v>Partial</v>
      </c>
      <c r="J35" s="98" t="n">
        <f aca="false">IF(OR($E35="Not covered",$E35="Child-only"),0,IF($E35="Full",1,IF($E35="Ancillary",MAX(0.1,MIN(0.5,IF($AN$7="",0.5*$C$4,$AN$7)/$C$4)),MIN(0.5,IF($AN$7="",0.5*$C$4,$AN$7)/$C$4))))</f>
        <v>0</v>
      </c>
      <c r="K35" s="98" t="n">
        <f aca="false">IF(OR($F35="Not covered",$F35="Child-only"),0,IF($F35="Full",1,IF($AD35="Y",$AE35,IF($F35="Ancillary",MAX(0.1,MIN(0.5,IF($AO$7="",0.5*$C$4,$AO$7)/$C$4)),MIN(0.5,IF($AO$7="",0.5*$C$4,$AO$7)/$C$4)))))</f>
        <v>0.093167701863354</v>
      </c>
      <c r="L35" s="98" t="n">
        <f aca="false">IF(OR($G35="Not covered",$G35="Child-only"),0,IF($G35="Full",1,IF($G35="Ancillary",MAX(0.1,MIN(0.5,IF($AS35&lt;&gt;"",$AS35,IF($AP$7="",0.5*$C$4,$AP$7))/$C$4)),MIN(0.5,IF($AS35&lt;&gt;"",$AS35,IF($AP$7="",0.5*$C$4,$AP$7))/$C$4))))</f>
        <v>0.093167701863354</v>
      </c>
      <c r="M35" s="98" t="n">
        <f aca="false">IF(OR($H35="Not covered",$H35="Child-only"),0,IF($H35="Full",1,IF($H35="Ancillary",MAX(0.1,MIN(0.5,IF($AM35&lt;&gt;"",$AM35,IF($AQ$7="",0.5*$C$4,$AQ$7))/$C$4)),MIN(0.5,IF($AM35&lt;&gt;"",$AM35,IF($AQ$7="",0.5*$C$4,$AQ$7))/$C$4))))</f>
        <v>0.093167701863354</v>
      </c>
      <c r="N35" s="98" t="n">
        <f aca="false">IF(OR($I35="Not covered",$I35="Child-only"),0,IF($I35="Full",1,IF($I35="Ancillary",MAX(0.1,MIN(0.5,IF($AR$7="",0.5*$C$4,$AR$7)/$C$4)),MIN(0.5,IF($AR$7="",0.5*$C$4,$AR$7)/$C$4))))</f>
        <v>0.093167701863354</v>
      </c>
      <c r="O35" s="1" t="n">
        <f aca="false">IF(OR($AF$7="",$AG$7=""),"",MAX(AF35/$AF$7,AG35/$AG$7)*100000*IF(AI35="",1,AI35))</f>
        <v>2410.49931108709</v>
      </c>
      <c r="P35" s="1" t="n">
        <f aca="false">IF(O35="","",1-EXP(-O35/100000))</f>
        <v>0.0238167881349766</v>
      </c>
      <c r="Q35" s="1" t="s">
        <v>965</v>
      </c>
      <c r="R35" s="1" t="s">
        <v>1137</v>
      </c>
      <c r="S35" s="1" t="n">
        <f aca="false">IF($P35="","",$P35*J35*$C$4*$C$5)</f>
        <v>0</v>
      </c>
      <c r="T35" s="1" t="n">
        <f aca="false">IF($P35="","",$P35*K35*$C$4*$C$5)</f>
        <v>7002.29338458533</v>
      </c>
      <c r="U35" s="1" t="n">
        <f aca="false">IF($P35="","",$P35*L35*$C$4*$C$5)</f>
        <v>7002.29338458533</v>
      </c>
      <c r="V35" s="1" t="n">
        <f aca="false">IF($P35="","",$P35*M35*$C$4*$C$5)</f>
        <v>7002.29338458533</v>
      </c>
      <c r="W35" s="1" t="n">
        <f aca="false">IF($P35="","",$P35*N35*$C$4*$C$5)</f>
        <v>7002.29338458533</v>
      </c>
      <c r="X35" s="1" t="n">
        <f aca="false">IF(S35="","",S35/$E$7)</f>
        <v>0</v>
      </c>
      <c r="Y35" s="1" t="n">
        <f aca="false">IF(T35="","",T35/$F$7)</f>
        <v>0.639130342935704</v>
      </c>
      <c r="Z35" s="1" t="n">
        <f aca="false">IF(U35="","",U35/$G$7)</f>
        <v>1.15793922935633</v>
      </c>
      <c r="AA35" s="1" t="n">
        <f aca="false">IF(V35="","",V35/$H$7)</f>
        <v>0.492433945182998</v>
      </c>
      <c r="AB35" s="1" t="n">
        <f aca="false">IF(W35="","",W35/$I$7)</f>
        <v>0.464370152323243</v>
      </c>
      <c r="AC35" s="1" t="str">
        <f aca="false">IF(COUNTIF(X35:AB35,"&gt;="&amp;$C$6)&gt;0,"PROMOTE","")</f>
        <v>PROMOTE</v>
      </c>
      <c r="AD35" s="1" t="str">
        <f aca="false">IF(COUNTIF(Sources_06!$B$33:$B$73,A35)&gt;0,"Y","")</f>
        <v>Y</v>
      </c>
      <c r="AE35" s="1" t="n">
        <f aca="false">IF(AD35="Y",MIN(0.5,Sources_06!$D$11/$C$4),"")</f>
        <v>0.093167701863354</v>
      </c>
      <c r="AF35" s="1" t="n">
        <v>9530</v>
      </c>
      <c r="AG35" s="1" t="n">
        <v>31176</v>
      </c>
      <c r="AH35" s="1" t="s">
        <v>1153</v>
      </c>
      <c r="AJ35" s="1" t="s">
        <v>1141</v>
      </c>
      <c r="AK35" s="1" t="n">
        <v>40</v>
      </c>
      <c r="AL35" s="1" t="n">
        <v>83444</v>
      </c>
    </row>
    <row r="36" customFormat="false" ht="15" hidden="false" customHeight="true" outlineLevel="0" collapsed="false">
      <c r="A36" s="1" t="n">
        <v>28</v>
      </c>
      <c r="B36" s="1" t="str">
        <f aca="false">Wording_Ranks!B29</f>
        <v>Pulmonary Artery Graft / Replacement Surgery</v>
      </c>
      <c r="C36" s="1" t="str">
        <f aca="false">Wording_Ranks!C29</f>
        <v>Cardiovascular</v>
      </c>
      <c r="D36" s="1" t="str">
        <f aca="false">Wording_Ranks!D29</f>
        <v>Rare</v>
      </c>
      <c r="E36" s="1" t="str">
        <f aca="false">Wording_Ranks!F29</f>
        <v>Full</v>
      </c>
      <c r="F36" s="1" t="str">
        <f aca="false">Wording_Ranks!H29</f>
        <v>Full</v>
      </c>
      <c r="G36" s="1" t="str">
        <f aca="false">Wording_Ranks!J29</f>
        <v>Full</v>
      </c>
      <c r="H36" s="1" t="str">
        <f aca="false">Wording_Ranks!M29</f>
        <v>Full</v>
      </c>
      <c r="I36" s="1" t="str">
        <f aca="false">Wording_Ranks!O29</f>
        <v>Full</v>
      </c>
      <c r="J36" s="98" t="n">
        <f aca="false">IF(OR($E36="Not covered",$E36="Child-only"),0,IF($E36="Full",1,IF($E36="Ancillary",MAX(0.1,MIN(0.5,IF($AN$7="",0.5*$C$4,$AN$7)/$C$4)),MIN(0.5,IF($AN$7="",0.5*$C$4,$AN$7)/$C$4))))</f>
        <v>1</v>
      </c>
      <c r="K36" s="98" t="n">
        <f aca="false">IF(OR($F36="Not covered",$F36="Child-only"),0,IF($F36="Full",1,IF($AD36="Y",$AE36,IF($F36="Ancillary",MAX(0.1,MIN(0.5,IF($AO$7="",0.5*$C$4,$AO$7)/$C$4)),MIN(0.5,IF($AO$7="",0.5*$C$4,$AO$7)/$C$4)))))</f>
        <v>1</v>
      </c>
      <c r="L36" s="98" t="n">
        <f aca="false">IF(OR($G36="Not covered",$G36="Child-only"),0,IF($G36="Full",1,IF($G36="Ancillary",MAX(0.1,MIN(0.5,IF($AS36&lt;&gt;"",$AS36,IF($AP$7="",0.5*$C$4,$AP$7))/$C$4)),MIN(0.5,IF($AS36&lt;&gt;"",$AS36,IF($AP$7="",0.5*$C$4,$AP$7))/$C$4))))</f>
        <v>1</v>
      </c>
      <c r="M36" s="98" t="n">
        <f aca="false">IF(OR($H36="Not covered",$H36="Child-only"),0,IF($H36="Full",1,IF($H36="Ancillary",MAX(0.1,MIN(0.5,IF($AM36&lt;&gt;"",$AM36,IF($AQ$7="",0.5*$C$4,$AQ$7))/$C$4)),MIN(0.5,IF($AM36&lt;&gt;"",$AM36,IF($AQ$7="",0.5*$C$4,$AQ$7))/$C$4))))</f>
        <v>1</v>
      </c>
      <c r="N36" s="98" t="n">
        <f aca="false">IF(OR($I36="Not covered",$I36="Child-only"),0,IF($I36="Full",1,IF($I36="Ancillary",MAX(0.1,MIN(0.5,IF($AR$7="",0.5*$C$4,$AR$7)/$C$4)),MIN(0.5,IF($AR$7="",0.5*$C$4,$AR$7)/$C$4))))</f>
        <v>1</v>
      </c>
      <c r="O36" s="1" t="n">
        <f aca="false">IF(OR($AF$7="",$AG$7=""),"",MAX(AF36/$AF$7,AG36/$AG$7)*100000*IF(AI36="",1,AI36))</f>
        <v>2410.49931108709</v>
      </c>
      <c r="P36" s="1" t="n">
        <f aca="false">IF(O36="","",1-EXP(-O36/100000))</f>
        <v>0.0238167881349766</v>
      </c>
      <c r="Q36" s="1" t="s">
        <v>965</v>
      </c>
      <c r="R36" s="1" t="s">
        <v>1137</v>
      </c>
      <c r="S36" s="1" t="n">
        <f aca="false">IF($P36="","",$P36*J36*$C$4*$C$5)</f>
        <v>75157.9489945493</v>
      </c>
      <c r="T36" s="1" t="n">
        <f aca="false">IF($P36="","",$P36*K36*$C$4*$C$5)</f>
        <v>75157.9489945493</v>
      </c>
      <c r="U36" s="1" t="n">
        <f aca="false">IF($P36="","",$P36*L36*$C$4*$C$5)</f>
        <v>75157.9489945493</v>
      </c>
      <c r="V36" s="1" t="n">
        <f aca="false">IF($P36="","",$P36*M36*$C$4*$C$5)</f>
        <v>75157.9489945493</v>
      </c>
      <c r="W36" s="1" t="n">
        <f aca="false">IF($P36="","",$P36*N36*$C$4*$C$5)</f>
        <v>75157.9489945493</v>
      </c>
      <c r="X36" s="1" t="n">
        <f aca="false">IF(S36="","",S36/$E$7)</f>
        <v>4.68231957562358</v>
      </c>
      <c r="Y36" s="1" t="n">
        <f aca="false">IF(T36="","",T36/$F$7)</f>
        <v>6.85999901417656</v>
      </c>
      <c r="Z36" s="1" t="n">
        <f aca="false">IF(U36="","",U36/$G$7)</f>
        <v>12.4285477284246</v>
      </c>
      <c r="AA36" s="1" t="n">
        <f aca="false">IF(V36="","",V36/$H$7)</f>
        <v>5.28545767829752</v>
      </c>
      <c r="AB36" s="1" t="n">
        <f aca="false">IF(W36="","",W36/$I$7)</f>
        <v>4.98423963493614</v>
      </c>
      <c r="AC36" s="1" t="str">
        <f aca="false">IF(COUNTIF(X36:AB36,"&gt;="&amp;$C$6)&gt;0,"PROMOTE","")</f>
        <v>PROMOTE</v>
      </c>
      <c r="AD36" s="1" t="str">
        <f aca="false">IF(COUNTIF(Sources_06!$B$33:$B$73,A36)&gt;0,"Y","")</f>
        <v/>
      </c>
      <c r="AE36" s="1" t="str">
        <f aca="false">IF(AD36="Y",MIN(0.5,Sources_06!$D$11/$C$4),"")</f>
        <v/>
      </c>
      <c r="AF36" s="1" t="n">
        <v>9530</v>
      </c>
      <c r="AG36" s="1" t="n">
        <v>31176</v>
      </c>
      <c r="AH36" s="1" t="s">
        <v>1140</v>
      </c>
      <c r="AJ36" s="1" t="s">
        <v>1141</v>
      </c>
      <c r="AK36" s="1" t="n">
        <v>41</v>
      </c>
      <c r="AL36" s="1" t="n">
        <v>85097</v>
      </c>
    </row>
    <row r="37" customFormat="false" ht="15" hidden="false" customHeight="true" outlineLevel="0" collapsed="false">
      <c r="A37" s="1" t="n">
        <v>29</v>
      </c>
      <c r="B37" s="1" t="str">
        <f aca="false">Wording_Ranks!B30</f>
        <v>Advance Payment for Heart Surgery</v>
      </c>
      <c r="C37" s="1" t="str">
        <f aca="false">Wording_Ranks!C30</f>
        <v>Cardiovascular / Ancillary</v>
      </c>
      <c r="D37" s="1" t="str">
        <f aca="false">Wording_Ranks!D30</f>
        <v>Low</v>
      </c>
      <c r="E37" s="1" t="str">
        <f aca="false">Wording_Ranks!F30</f>
        <v>Not covered</v>
      </c>
      <c r="F37" s="1" t="str">
        <f aca="false">Wording_Ranks!H30</f>
        <v>Not covered</v>
      </c>
      <c r="G37" s="1" t="str">
        <f aca="false">Wording_Ranks!J30</f>
        <v>Not covered</v>
      </c>
      <c r="H37" s="1" t="str">
        <f aca="false">Wording_Ranks!M30</f>
        <v>Ancillary</v>
      </c>
      <c r="I37" s="1" t="str">
        <f aca="false">Wording_Ranks!O30</f>
        <v>Not covered</v>
      </c>
      <c r="J37" s="98" t="n">
        <f aca="false">IF(OR($E37="Not covered",$E37="Child-only"),0,IF($E37="Full",1,IF($E37="Ancillary",MAX(0.1,MIN(0.5,IF($AN$7="",0.5*$C$4,$AN$7)/$C$4)),MIN(0.5,IF($AN$7="",0.5*$C$4,$AN$7)/$C$4))))</f>
        <v>0</v>
      </c>
      <c r="K37" s="98" t="n">
        <f aca="false">IF(OR($F37="Not covered",$F37="Child-only"),0,IF($F37="Full",1,IF($AD37="Y",$AE37,IF($F37="Ancillary",MAX(0.1,MIN(0.5,IF($AO$7="",0.5*$C$4,$AO$7)/$C$4)),MIN(0.5,IF($AO$7="",0.5*$C$4,$AO$7)/$C$4)))))</f>
        <v>0</v>
      </c>
      <c r="L37" s="98" t="n">
        <f aca="false">IF(OR($G37="Not covered",$G37="Child-only"),0,IF($G37="Full",1,IF($G37="Ancillary",MAX(0.1,MIN(0.5,IF($AS37&lt;&gt;"",$AS37,IF($AP$7="",0.5*$C$4,$AP$7))/$C$4)),MIN(0.5,IF($AS37&lt;&gt;"",$AS37,IF($AP$7="",0.5*$C$4,$AP$7))/$C$4))))</f>
        <v>0</v>
      </c>
      <c r="M37" s="98" t="n">
        <f aca="false">IF(OR($H37="Not covered",$H37="Child-only"),0,IF($H37="Full",1,IF($H37="Ancillary",MAX(0.1,MIN(0.5,IF($AM37&lt;&gt;"",$AM37,IF($AQ$7="",0.5*$C$4,$AQ$7))/$C$4)),MIN(0.5,IF($AM37&lt;&gt;"",$AM37,IF($AQ$7="",0.5*$C$4,$AQ$7))/$C$4))))</f>
        <v>0.1</v>
      </c>
      <c r="N37" s="98" t="n">
        <f aca="false">IF(OR($I37="Not covered",$I37="Child-only"),0,IF($I37="Full",1,IF($I37="Ancillary",MAX(0.1,MIN(0.5,IF($AR$7="",0.5*$C$4,$AR$7)/$C$4)),MIN(0.5,IF($AR$7="",0.5*$C$4,$AR$7)/$C$4))))</f>
        <v>0</v>
      </c>
      <c r="P37" s="1" t="str">
        <f aca="false">IF(O37="","",1-EXP(-O37/100000))</f>
        <v/>
      </c>
      <c r="R37" s="1" t="s">
        <v>1136</v>
      </c>
      <c r="S37" s="1" t="str">
        <f aca="false">IF($P37="","",$P37*J37*$C$4*$C$5)</f>
        <v/>
      </c>
      <c r="T37" s="1" t="str">
        <f aca="false">IF($P37="","",$P37*K37*$C$4*$C$5)</f>
        <v/>
      </c>
      <c r="U37" s="1" t="str">
        <f aca="false">IF($P37="","",$P37*L37*$C$4*$C$5)</f>
        <v/>
      </c>
      <c r="V37" s="1" t="str">
        <f aca="false">IF($P37="","",$P37*M37*$C$4*$C$5)</f>
        <v/>
      </c>
      <c r="W37" s="1" t="str">
        <f aca="false">IF($P37="","",$P37*N37*$C$4*$C$5)</f>
        <v/>
      </c>
      <c r="X37" s="1" t="str">
        <f aca="false">IF(S37="","",S37/$E$7)</f>
        <v/>
      </c>
      <c r="Y37" s="1" t="str">
        <f aca="false">IF(T37="","",T37/$F$7)</f>
        <v/>
      </c>
      <c r="Z37" s="1" t="str">
        <f aca="false">IF(U37="","",U37/$G$7)</f>
        <v/>
      </c>
      <c r="AA37" s="1" t="str">
        <f aca="false">IF(V37="","",V37/$H$7)</f>
        <v/>
      </c>
      <c r="AB37" s="1" t="str">
        <f aca="false">IF(W37="","",W37/$I$7)</f>
        <v/>
      </c>
      <c r="AC37" s="1" t="str">
        <f aca="false">IF(COUNTIF(X37:AB37,"&gt;="&amp;$C$6)&gt;0,"PROMOTE","")</f>
        <v/>
      </c>
      <c r="AD37" s="1" t="str">
        <f aca="false">IF(COUNTIF(Sources_06!$B$33:$B$73,A37)&gt;0,"Y","")</f>
        <v/>
      </c>
      <c r="AE37" s="1" t="str">
        <f aca="false">IF(AD37="Y",MIN(0.5,Sources_06!$D$11/$C$4),"")</f>
        <v/>
      </c>
      <c r="AK37" s="1" t="n">
        <v>42</v>
      </c>
      <c r="AL37" s="1" t="n">
        <v>84981</v>
      </c>
    </row>
    <row r="38" customFormat="false" ht="15" hidden="false" customHeight="true" outlineLevel="0" collapsed="false">
      <c r="A38" s="1" t="n">
        <v>30</v>
      </c>
      <c r="B38" s="1" t="str">
        <f aca="false">Wording_Ranks!B31</f>
        <v>Cerebral Aneurysm – with Surgical Repair</v>
      </c>
      <c r="C38" s="1" t="str">
        <f aca="false">Wording_Ranks!C31</f>
        <v>Cardiovascular / Neurological</v>
      </c>
      <c r="D38" s="1" t="str">
        <f aca="false">Wording_Ranks!D31</f>
        <v>Low</v>
      </c>
      <c r="E38" s="1" t="str">
        <f aca="false">Wording_Ranks!F31</f>
        <v>Partial</v>
      </c>
      <c r="F38" s="1" t="str">
        <f aca="false">Wording_Ranks!H31</f>
        <v>Not covered</v>
      </c>
      <c r="G38" s="1" t="str">
        <f aca="false">Wording_Ranks!J31</f>
        <v>Partial</v>
      </c>
      <c r="H38" s="1" t="str">
        <f aca="false">Wording_Ranks!M31</f>
        <v>Partial</v>
      </c>
      <c r="I38" s="1" t="str">
        <f aca="false">Wording_Ranks!O31</f>
        <v>Partial</v>
      </c>
      <c r="J38" s="98" t="n">
        <f aca="false">IF(OR($E38="Not covered",$E38="Child-only"),0,IF($E38="Full",1,IF($E38="Ancillary",MAX(0.1,MIN(0.5,IF($AN$7="",0.5*$C$4,$AN$7)/$C$4)),MIN(0.5,IF($AN$7="",0.5*$C$4,$AN$7)/$C$4))))</f>
        <v>0.124223602484472</v>
      </c>
      <c r="K38" s="98" t="n">
        <f aca="false">IF(OR($F38="Not covered",$F38="Child-only"),0,IF($F38="Full",1,IF($AD38="Y",$AE38,IF($F38="Ancillary",MAX(0.1,MIN(0.5,IF($AO$7="",0.5*$C$4,$AO$7)/$C$4)),MIN(0.5,IF($AO$7="",0.5*$C$4,$AO$7)/$C$4)))))</f>
        <v>0</v>
      </c>
      <c r="L38" s="98" t="n">
        <f aca="false">IF(OR($G38="Not covered",$G38="Child-only"),0,IF($G38="Full",1,IF($G38="Ancillary",MAX(0.1,MIN(0.5,IF($AS38&lt;&gt;"",$AS38,IF($AP$7="",0.5*$C$4,$AP$7))/$C$4)),MIN(0.5,IF($AS38&lt;&gt;"",$AS38,IF($AP$7="",0.5*$C$4,$AP$7))/$C$4))))</f>
        <v>0.093167701863354</v>
      </c>
      <c r="M38" s="98" t="n">
        <f aca="false">IF(OR($H38="Not covered",$H38="Child-only"),0,IF($H38="Full",1,IF($H38="Ancillary",MAX(0.1,MIN(0.5,IF($AM38&lt;&gt;"",$AM38,IF($AQ$7="",0.5*$C$4,$AQ$7))/$C$4)),MIN(0.5,IF($AM38&lt;&gt;"",$AM38,IF($AQ$7="",0.5*$C$4,$AQ$7))/$C$4))))</f>
        <v>0.093167701863354</v>
      </c>
      <c r="N38" s="98" t="n">
        <f aca="false">IF(OR($I38="Not covered",$I38="Child-only"),0,IF($I38="Full",1,IF($I38="Ancillary",MAX(0.1,MIN(0.5,IF($AR$7="",0.5*$C$4,$AR$7)/$C$4)),MIN(0.5,IF($AR$7="",0.5*$C$4,$AR$7)/$C$4))))</f>
        <v>0.093167701863354</v>
      </c>
      <c r="O38" s="1" t="n">
        <f aca="false">IF(OR($AF$7="",$AG$7=""),"",MAX(AF38/$AF$7,AG38/$AG$7)*100000*IF(AI38="",1,AI38))</f>
        <v>4041.31312522133</v>
      </c>
      <c r="P38" s="1" t="n">
        <f aca="false">IF(O38="","",1-EXP(-O38/100000))</f>
        <v>0.0396074110105402</v>
      </c>
      <c r="Q38" s="1" t="s">
        <v>965</v>
      </c>
      <c r="R38" s="1" t="s">
        <v>1137</v>
      </c>
      <c r="S38" s="1" t="n">
        <f aca="false">IF($P38="","",$P38*J38*$C$4*$C$5)</f>
        <v>15526.4547303287</v>
      </c>
      <c r="T38" s="1" t="n">
        <f aca="false">IF($P38="","",$P38*K38*$C$4*$C$5)</f>
        <v>0</v>
      </c>
      <c r="U38" s="1" t="n">
        <f aca="false">IF($P38="","",$P38*L38*$C$4*$C$5)</f>
        <v>11644.8410477465</v>
      </c>
      <c r="V38" s="1" t="n">
        <f aca="false">IF($P38="","",$P38*M38*$C$4*$C$5)</f>
        <v>11644.8410477465</v>
      </c>
      <c r="W38" s="1" t="n">
        <f aca="false">IF($P38="","",$P38*N38*$C$4*$C$5)</f>
        <v>11644.8410477465</v>
      </c>
      <c r="X38" s="1" t="n">
        <f aca="false">IF(S38="","",S38/$E$7)</f>
        <v>0.967293864407131</v>
      </c>
      <c r="Y38" s="1" t="n">
        <f aca="false">IF(T38="","",T38/$F$7)</f>
        <v>0</v>
      </c>
      <c r="Z38" s="1" t="n">
        <f aca="false">IF(U38="","",U38/$G$7)</f>
        <v>1.92565742796324</v>
      </c>
      <c r="AA38" s="1" t="n">
        <f aca="false">IF(V38="","",V38/$H$7)</f>
        <v>0.818919560096428</v>
      </c>
      <c r="AB38" s="1" t="n">
        <f aca="false">IF(W38="","",W38/$I$7)</f>
        <v>0.772249363762162</v>
      </c>
      <c r="AC38" s="1" t="str">
        <f aca="false">IF(COUNTIF(X38:AB38,"&gt;="&amp;$C$6)&gt;0,"PROMOTE","")</f>
        <v>PROMOTE</v>
      </c>
      <c r="AD38" s="1" t="str">
        <f aca="false">IF(COUNTIF(Sources_06!$B$33:$B$73,A38)&gt;0,"Y","")</f>
        <v/>
      </c>
      <c r="AE38" s="1" t="str">
        <f aca="false">IF(AD38="Y",MIN(0.5,Sources_06!$D$11/$C$4),"")</f>
        <v/>
      </c>
      <c r="AF38" s="1" t="n">
        <v>20743</v>
      </c>
      <c r="AG38" s="1" t="n">
        <v>52268</v>
      </c>
      <c r="AH38" s="1" t="s">
        <v>1154</v>
      </c>
      <c r="AJ38" s="1" t="s">
        <v>1155</v>
      </c>
      <c r="AK38" s="1" t="n">
        <v>43</v>
      </c>
      <c r="AL38" s="1" t="n">
        <v>80683</v>
      </c>
    </row>
    <row r="39" customFormat="false" ht="15" hidden="false" customHeight="true" outlineLevel="0" collapsed="false">
      <c r="A39" s="1" t="n">
        <v>31</v>
      </c>
      <c r="B39" s="1" t="str">
        <f aca="false">Wording_Ranks!B32</f>
        <v>Cerebral Arteriovenous Malformation – Requiring Surgery</v>
      </c>
      <c r="C39" s="1" t="str">
        <f aca="false">Wording_Ranks!C32</f>
        <v>Cardiovascular / Neurological</v>
      </c>
      <c r="D39" s="1" t="str">
        <f aca="false">Wording_Ranks!D32</f>
        <v>Rare</v>
      </c>
      <c r="E39" s="1" t="str">
        <f aca="false">Wording_Ranks!F32</f>
        <v>Partial</v>
      </c>
      <c r="F39" s="1" t="str">
        <f aca="false">Wording_Ranks!H32</f>
        <v>Not covered</v>
      </c>
      <c r="G39" s="1" t="str">
        <f aca="false">Wording_Ranks!J32</f>
        <v>Partial</v>
      </c>
      <c r="H39" s="1" t="str">
        <f aca="false">Wording_Ranks!M32</f>
        <v>Partial</v>
      </c>
      <c r="I39" s="1" t="str">
        <f aca="false">Wording_Ranks!O32</f>
        <v>Partial</v>
      </c>
      <c r="J39" s="98" t="n">
        <f aca="false">IF(OR($E39="Not covered",$E39="Child-only"),0,IF($E39="Full",1,IF($E39="Ancillary",MAX(0.1,MIN(0.5,IF($AN$7="",0.5*$C$4,$AN$7)/$C$4)),MIN(0.5,IF($AN$7="",0.5*$C$4,$AN$7)/$C$4))))</f>
        <v>0.124223602484472</v>
      </c>
      <c r="K39" s="98" t="n">
        <f aca="false">IF(OR($F39="Not covered",$F39="Child-only"),0,IF($F39="Full",1,IF($AD39="Y",$AE39,IF($F39="Ancillary",MAX(0.1,MIN(0.5,IF($AO$7="",0.5*$C$4,$AO$7)/$C$4)),MIN(0.5,IF($AO$7="",0.5*$C$4,$AO$7)/$C$4)))))</f>
        <v>0</v>
      </c>
      <c r="L39" s="98" t="n">
        <f aca="false">IF(OR($G39="Not covered",$G39="Child-only"),0,IF($G39="Full",1,IF($G39="Ancillary",MAX(0.1,MIN(0.5,IF($AS39&lt;&gt;"",$AS39,IF($AP$7="",0.5*$C$4,$AP$7))/$C$4)),MIN(0.5,IF($AS39&lt;&gt;"",$AS39,IF($AP$7="",0.5*$C$4,$AP$7))/$C$4))))</f>
        <v>0.093167701863354</v>
      </c>
      <c r="M39" s="98" t="n">
        <f aca="false">IF(OR($H39="Not covered",$H39="Child-only"),0,IF($H39="Full",1,IF($H39="Ancillary",MAX(0.1,MIN(0.5,IF($AM39&lt;&gt;"",$AM39,IF($AQ$7="",0.5*$C$4,$AQ$7))/$C$4)),MIN(0.5,IF($AM39&lt;&gt;"",$AM39,IF($AQ$7="",0.5*$C$4,$AQ$7))/$C$4))))</f>
        <v>0.093167701863354</v>
      </c>
      <c r="N39" s="98" t="n">
        <f aca="false">IF(OR($I39="Not covered",$I39="Child-only"),0,IF($I39="Full",1,IF($I39="Ancillary",MAX(0.1,MIN(0.5,IF($AR$7="",0.5*$C$4,$AR$7)/$C$4)),MIN(0.5,IF($AR$7="",0.5*$C$4,$AR$7)/$C$4))))</f>
        <v>0.093167701863354</v>
      </c>
      <c r="O39" s="1" t="n">
        <f aca="false">IF(OR($AF$7="",$AG$7=""),"",MAX(AF39/$AF$7,AG39/$AG$7)*100000*IF(AI39="",1,AI39))</f>
        <v>4041.31312522133</v>
      </c>
      <c r="P39" s="1" t="n">
        <f aca="false">IF(O39="","",1-EXP(-O39/100000))</f>
        <v>0.0396074110105402</v>
      </c>
      <c r="Q39" s="1" t="s">
        <v>965</v>
      </c>
      <c r="R39" s="1" t="s">
        <v>1137</v>
      </c>
      <c r="S39" s="1" t="n">
        <f aca="false">IF($P39="","",$P39*J39*$C$4*$C$5)</f>
        <v>15526.4547303287</v>
      </c>
      <c r="T39" s="1" t="n">
        <f aca="false">IF($P39="","",$P39*K39*$C$4*$C$5)</f>
        <v>0</v>
      </c>
      <c r="U39" s="1" t="n">
        <f aca="false">IF($P39="","",$P39*L39*$C$4*$C$5)</f>
        <v>11644.8410477465</v>
      </c>
      <c r="V39" s="1" t="n">
        <f aca="false">IF($P39="","",$P39*M39*$C$4*$C$5)</f>
        <v>11644.8410477465</v>
      </c>
      <c r="W39" s="1" t="n">
        <f aca="false">IF($P39="","",$P39*N39*$C$4*$C$5)</f>
        <v>11644.8410477465</v>
      </c>
      <c r="X39" s="1" t="n">
        <f aca="false">IF(S39="","",S39/$E$7)</f>
        <v>0.967293864407131</v>
      </c>
      <c r="Y39" s="1" t="n">
        <f aca="false">IF(T39="","",T39/$F$7)</f>
        <v>0</v>
      </c>
      <c r="Z39" s="1" t="n">
        <f aca="false">IF(U39="","",U39/$G$7)</f>
        <v>1.92565742796324</v>
      </c>
      <c r="AA39" s="1" t="n">
        <f aca="false">IF(V39="","",V39/$H$7)</f>
        <v>0.818919560096428</v>
      </c>
      <c r="AB39" s="1" t="n">
        <f aca="false">IF(W39="","",W39/$I$7)</f>
        <v>0.772249363762162</v>
      </c>
      <c r="AC39" s="1" t="str">
        <f aca="false">IF(COUNTIF(X39:AB39,"&gt;="&amp;$C$6)&gt;0,"PROMOTE","")</f>
        <v>PROMOTE</v>
      </c>
      <c r="AD39" s="1" t="str">
        <f aca="false">IF(COUNTIF(Sources_06!$B$33:$B$73,A39)&gt;0,"Y","")</f>
        <v/>
      </c>
      <c r="AE39" s="1" t="str">
        <f aca="false">IF(AD39="Y",MIN(0.5,Sources_06!$D$11/$C$4),"")</f>
        <v/>
      </c>
      <c r="AF39" s="1" t="n">
        <v>20743</v>
      </c>
      <c r="AG39" s="1" t="n">
        <v>52268</v>
      </c>
      <c r="AH39" s="1" t="s">
        <v>1154</v>
      </c>
      <c r="AJ39" s="1" t="s">
        <v>1155</v>
      </c>
      <c r="AK39" s="1" t="n">
        <v>44</v>
      </c>
      <c r="AL39" s="1" t="n">
        <v>77319</v>
      </c>
    </row>
    <row r="40" customFormat="false" ht="15" hidden="false" customHeight="true" outlineLevel="0" collapsed="false">
      <c r="A40" s="1" t="n">
        <v>32</v>
      </c>
      <c r="B40" s="1" t="str">
        <f aca="false">Wording_Ranks!B33</f>
        <v>Cerebral or Spinal Aneurysm – with Surgical Repair</v>
      </c>
      <c r="C40" s="1" t="str">
        <f aca="false">Wording_Ranks!C33</f>
        <v>Cardiovascular / Neurological</v>
      </c>
      <c r="D40" s="1" t="str">
        <f aca="false">Wording_Ranks!D33</f>
        <v>Low</v>
      </c>
      <c r="E40" s="1" t="str">
        <f aca="false">Wording_Ranks!F33</f>
        <v>Not covered</v>
      </c>
      <c r="F40" s="1" t="str">
        <f aca="false">Wording_Ranks!H33</f>
        <v>Partial</v>
      </c>
      <c r="G40" s="1" t="str">
        <f aca="false">Wording_Ranks!J33</f>
        <v>Partial</v>
      </c>
      <c r="H40" s="1" t="str">
        <f aca="false">Wording_Ranks!M33</f>
        <v>Partial</v>
      </c>
      <c r="I40" s="1" t="str">
        <f aca="false">Wording_Ranks!O33</f>
        <v>Not covered</v>
      </c>
      <c r="J40" s="98" t="n">
        <f aca="false">IF(OR($E40="Not covered",$E40="Child-only"),0,IF($E40="Full",1,IF($E40="Ancillary",MAX(0.1,MIN(0.5,IF($AN$7="",0.5*$C$4,$AN$7)/$C$4)),MIN(0.5,IF($AN$7="",0.5*$C$4,$AN$7)/$C$4))))</f>
        <v>0</v>
      </c>
      <c r="K40" s="98" t="n">
        <f aca="false">IF(OR($F40="Not covered",$F40="Child-only"),0,IF($F40="Full",1,IF($AD40="Y",$AE40,IF($F40="Ancillary",MAX(0.1,MIN(0.5,IF($AO$7="",0.5*$C$4,$AO$7)/$C$4)),MIN(0.5,IF($AO$7="",0.5*$C$4,$AO$7)/$C$4)))))</f>
        <v>0.093167701863354</v>
      </c>
      <c r="L40" s="98" t="n">
        <f aca="false">IF(OR($G40="Not covered",$G40="Child-only"),0,IF($G40="Full",1,IF($G40="Ancillary",MAX(0.1,MIN(0.5,IF($AS40&lt;&gt;"",$AS40,IF($AP$7="",0.5*$C$4,$AP$7))/$C$4)),MIN(0.5,IF($AS40&lt;&gt;"",$AS40,IF($AP$7="",0.5*$C$4,$AP$7))/$C$4))))</f>
        <v>0.093167701863354</v>
      </c>
      <c r="M40" s="98" t="n">
        <f aca="false">IF(OR($H40="Not covered",$H40="Child-only"),0,IF($H40="Full",1,IF($H40="Ancillary",MAX(0.1,MIN(0.5,IF($AM40&lt;&gt;"",$AM40,IF($AQ$7="",0.5*$C$4,$AQ$7))/$C$4)),MIN(0.5,IF($AM40&lt;&gt;"",$AM40,IF($AQ$7="",0.5*$C$4,$AQ$7))/$C$4))))</f>
        <v>0.093167701863354</v>
      </c>
      <c r="N40" s="98" t="n">
        <f aca="false">IF(OR($I40="Not covered",$I40="Child-only"),0,IF($I40="Full",1,IF($I40="Ancillary",MAX(0.1,MIN(0.5,IF($AR$7="",0.5*$C$4,$AR$7)/$C$4)),MIN(0.5,IF($AR$7="",0.5*$C$4,$AR$7)/$C$4))))</f>
        <v>0</v>
      </c>
      <c r="O40" s="1" t="n">
        <f aca="false">IF(OR($AF$7="",$AG$7=""),"",MAX(AF40/$AF$7,AG40/$AG$7)*100000*IF(AI40="",1,AI40))</f>
        <v>4041.31312522133</v>
      </c>
      <c r="P40" s="1" t="n">
        <f aca="false">IF(O40="","",1-EXP(-O40/100000))</f>
        <v>0.0396074110105402</v>
      </c>
      <c r="Q40" s="1" t="s">
        <v>965</v>
      </c>
      <c r="R40" s="1" t="s">
        <v>1137</v>
      </c>
      <c r="S40" s="1" t="n">
        <f aca="false">IF($P40="","",$P40*J40*$C$4*$C$5)</f>
        <v>0</v>
      </c>
      <c r="T40" s="1" t="n">
        <f aca="false">IF($P40="","",$P40*K40*$C$4*$C$5)</f>
        <v>11644.8410477465</v>
      </c>
      <c r="U40" s="1" t="n">
        <f aca="false">IF($P40="","",$P40*L40*$C$4*$C$5)</f>
        <v>11644.8410477465</v>
      </c>
      <c r="V40" s="1" t="n">
        <f aca="false">IF($P40="","",$P40*M40*$C$4*$C$5)</f>
        <v>11644.8410477465</v>
      </c>
      <c r="W40" s="1" t="n">
        <f aca="false">IF($P40="","",$P40*N40*$C$4*$C$5)</f>
        <v>0</v>
      </c>
      <c r="X40" s="1" t="n">
        <f aca="false">IF(S40="","",S40/$E$7)</f>
        <v>0</v>
      </c>
      <c r="Y40" s="1" t="n">
        <f aca="false">IF(T40="","",T40/$F$7)</f>
        <v>1.06287623832813</v>
      </c>
      <c r="Z40" s="1" t="n">
        <f aca="false">IF(U40="","",U40/$G$7)</f>
        <v>1.92565742796324</v>
      </c>
      <c r="AA40" s="1" t="n">
        <f aca="false">IF(V40="","",V40/$H$7)</f>
        <v>0.818919560096428</v>
      </c>
      <c r="AB40" s="1" t="n">
        <f aca="false">IF(W40="","",W40/$I$7)</f>
        <v>0</v>
      </c>
      <c r="AC40" s="1" t="str">
        <f aca="false">IF(COUNTIF(X40:AB40,"&gt;="&amp;$C$6)&gt;0,"PROMOTE","")</f>
        <v>PROMOTE</v>
      </c>
      <c r="AD40" s="1" t="str">
        <f aca="false">IF(COUNTIF(Sources_06!$B$33:$B$73,A40)&gt;0,"Y","")</f>
        <v>Y</v>
      </c>
      <c r="AE40" s="1" t="n">
        <f aca="false">IF(AD40="Y",MIN(0.5,Sources_06!$D$11/$C$4),"")</f>
        <v>0.093167701863354</v>
      </c>
      <c r="AF40" s="1" t="n">
        <v>20743</v>
      </c>
      <c r="AG40" s="1" t="n">
        <v>52268</v>
      </c>
      <c r="AH40" s="1" t="s">
        <v>1154</v>
      </c>
      <c r="AJ40" s="1" t="s">
        <v>1155</v>
      </c>
      <c r="AK40" s="1" t="n">
        <v>45</v>
      </c>
      <c r="AL40" s="1" t="n">
        <v>76216</v>
      </c>
    </row>
    <row r="41" customFormat="false" ht="15" hidden="false" customHeight="true" outlineLevel="0" collapsed="false">
      <c r="A41" s="1" t="n">
        <v>33</v>
      </c>
      <c r="B41" s="1" t="str">
        <f aca="false">Wording_Ranks!B34</f>
        <v>Cerebral or Spinal Arteriovenous Malformation – Requiring Surgery</v>
      </c>
      <c r="C41" s="1" t="str">
        <f aca="false">Wording_Ranks!C34</f>
        <v>Cardiovascular / Neurological</v>
      </c>
      <c r="D41" s="1" t="str">
        <f aca="false">Wording_Ranks!D34</f>
        <v>Rare</v>
      </c>
      <c r="E41" s="1" t="str">
        <f aca="false">Wording_Ranks!F34</f>
        <v>Not covered</v>
      </c>
      <c r="F41" s="1" t="str">
        <f aca="false">Wording_Ranks!H34</f>
        <v>Partial</v>
      </c>
      <c r="G41" s="1" t="str">
        <f aca="false">Wording_Ranks!J34</f>
        <v>Not covered</v>
      </c>
      <c r="H41" s="1" t="str">
        <f aca="false">Wording_Ranks!M34</f>
        <v>Partial</v>
      </c>
      <c r="I41" s="1" t="str">
        <f aca="false">Wording_Ranks!O34</f>
        <v>Not covered</v>
      </c>
      <c r="J41" s="98" t="n">
        <f aca="false">IF(OR($E41="Not covered",$E41="Child-only"),0,IF($E41="Full",1,IF($E41="Ancillary",MAX(0.1,MIN(0.5,IF($AN$7="",0.5*$C$4,$AN$7)/$C$4)),MIN(0.5,IF($AN$7="",0.5*$C$4,$AN$7)/$C$4))))</f>
        <v>0</v>
      </c>
      <c r="K41" s="98" t="n">
        <f aca="false">IF(OR($F41="Not covered",$F41="Child-only"),0,IF($F41="Full",1,IF($AD41="Y",$AE41,IF($F41="Ancillary",MAX(0.1,MIN(0.5,IF($AO$7="",0.5*$C$4,$AO$7)/$C$4)),MIN(0.5,IF($AO$7="",0.5*$C$4,$AO$7)/$C$4)))))</f>
        <v>0.093167701863354</v>
      </c>
      <c r="L41" s="98" t="n">
        <f aca="false">IF(OR($G41="Not covered",$G41="Child-only"),0,IF($G41="Full",1,IF($G41="Ancillary",MAX(0.1,MIN(0.5,IF($AS41&lt;&gt;"",$AS41,IF($AP$7="",0.5*$C$4,$AP$7))/$C$4)),MIN(0.5,IF($AS41&lt;&gt;"",$AS41,IF($AP$7="",0.5*$C$4,$AP$7))/$C$4))))</f>
        <v>0</v>
      </c>
      <c r="M41" s="98" t="n">
        <f aca="false">IF(OR($H41="Not covered",$H41="Child-only"),0,IF($H41="Full",1,IF($H41="Ancillary",MAX(0.1,MIN(0.5,IF($AM41&lt;&gt;"",$AM41,IF($AQ$7="",0.5*$C$4,$AQ$7))/$C$4)),MIN(0.5,IF($AM41&lt;&gt;"",$AM41,IF($AQ$7="",0.5*$C$4,$AQ$7))/$C$4))))</f>
        <v>0.093167701863354</v>
      </c>
      <c r="N41" s="98" t="n">
        <f aca="false">IF(OR($I41="Not covered",$I41="Child-only"),0,IF($I41="Full",1,IF($I41="Ancillary",MAX(0.1,MIN(0.5,IF($AR$7="",0.5*$C$4,$AR$7)/$C$4)),MIN(0.5,IF($AR$7="",0.5*$C$4,$AR$7)/$C$4))))</f>
        <v>0</v>
      </c>
      <c r="O41" s="1" t="n">
        <f aca="false">IF(OR($AF$7="",$AG$7=""),"",MAX(AF41/$AF$7,AG41/$AG$7)*100000*IF(AI41="",1,AI41))</f>
        <v>4041.31312522133</v>
      </c>
      <c r="P41" s="1" t="n">
        <f aca="false">IF(O41="","",1-EXP(-O41/100000))</f>
        <v>0.0396074110105402</v>
      </c>
      <c r="Q41" s="1" t="s">
        <v>965</v>
      </c>
      <c r="R41" s="1" t="s">
        <v>1137</v>
      </c>
      <c r="S41" s="1" t="n">
        <f aca="false">IF($P41="","",$P41*J41*$C$4*$C$5)</f>
        <v>0</v>
      </c>
      <c r="T41" s="1" t="n">
        <f aca="false">IF($P41="","",$P41*K41*$C$4*$C$5)</f>
        <v>11644.8410477465</v>
      </c>
      <c r="U41" s="1" t="n">
        <f aca="false">IF($P41="","",$P41*L41*$C$4*$C$5)</f>
        <v>0</v>
      </c>
      <c r="V41" s="1" t="n">
        <f aca="false">IF($P41="","",$P41*M41*$C$4*$C$5)</f>
        <v>11644.8410477465</v>
      </c>
      <c r="W41" s="1" t="n">
        <f aca="false">IF($P41="","",$P41*N41*$C$4*$C$5)</f>
        <v>0</v>
      </c>
      <c r="X41" s="1" t="n">
        <f aca="false">IF(S41="","",S41/$E$7)</f>
        <v>0</v>
      </c>
      <c r="Y41" s="1" t="n">
        <f aca="false">IF(T41="","",T41/$F$7)</f>
        <v>1.06287623832813</v>
      </c>
      <c r="Z41" s="1" t="n">
        <f aca="false">IF(U41="","",U41/$G$7)</f>
        <v>0</v>
      </c>
      <c r="AA41" s="1" t="n">
        <f aca="false">IF(V41="","",V41/$H$7)</f>
        <v>0.818919560096428</v>
      </c>
      <c r="AB41" s="1" t="n">
        <f aca="false">IF(W41="","",W41/$I$7)</f>
        <v>0</v>
      </c>
      <c r="AC41" s="1" t="str">
        <f aca="false">IF(COUNTIF(X41:AB41,"&gt;="&amp;$C$6)&gt;0,"PROMOTE","")</f>
        <v>PROMOTE</v>
      </c>
      <c r="AD41" s="1" t="str">
        <f aca="false">IF(COUNTIF(Sources_06!$B$33:$B$73,A41)&gt;0,"Y","")</f>
        <v>Y</v>
      </c>
      <c r="AE41" s="1" t="n">
        <f aca="false">IF(AD41="Y",MIN(0.5,Sources_06!$D$11/$C$4),"")</f>
        <v>0.093167701863354</v>
      </c>
      <c r="AF41" s="1" t="n">
        <v>20743</v>
      </c>
      <c r="AG41" s="1" t="n">
        <v>52268</v>
      </c>
      <c r="AH41" s="1" t="s">
        <v>1154</v>
      </c>
      <c r="AJ41" s="1" t="s">
        <v>1155</v>
      </c>
      <c r="AK41" s="1" t="n">
        <v>46</v>
      </c>
      <c r="AL41" s="1" t="n">
        <v>75416</v>
      </c>
    </row>
    <row r="42" customFormat="false" ht="15" hidden="false" customHeight="true" outlineLevel="0" collapsed="false">
      <c r="A42" s="1" t="n">
        <v>35</v>
      </c>
      <c r="B42" s="1" t="str">
        <f aca="false">Wording_Ranks!B36</f>
        <v>Primary Pulmonary Hypertension – of Specified Severity</v>
      </c>
      <c r="C42" s="1" t="str">
        <f aca="false">Wording_Ranks!C36</f>
        <v>Cardiovascular / Respiratory</v>
      </c>
      <c r="D42" s="1" t="str">
        <f aca="false">Wording_Ranks!D36</f>
        <v>Rare</v>
      </c>
      <c r="E42" s="1" t="str">
        <f aca="false">Wording_Ranks!F36</f>
        <v>Full</v>
      </c>
      <c r="F42" s="1" t="str">
        <f aca="false">Wording_Ranks!H36</f>
        <v>Full</v>
      </c>
      <c r="G42" s="1" t="str">
        <f aca="false">Wording_Ranks!J36</f>
        <v>Full</v>
      </c>
      <c r="H42" s="1" t="str">
        <f aca="false">Wording_Ranks!M36</f>
        <v>Full</v>
      </c>
      <c r="I42" s="1" t="str">
        <f aca="false">Wording_Ranks!O36</f>
        <v>Full</v>
      </c>
      <c r="J42" s="98" t="n">
        <f aca="false">IF(OR($E42="Not covered",$E42="Child-only"),0,IF($E42="Full",1,IF($E42="Ancillary",MAX(0.1,MIN(0.5,IF($AN$7="",0.5*$C$4,$AN$7)/$C$4)),MIN(0.5,IF($AN$7="",0.5*$C$4,$AN$7)/$C$4))))</f>
        <v>1</v>
      </c>
      <c r="K42" s="98" t="n">
        <f aca="false">IF(OR($F42="Not covered",$F42="Child-only"),0,IF($F42="Full",1,IF($AD42="Y",$AE42,IF($F42="Ancillary",MAX(0.1,MIN(0.5,IF($AO$7="",0.5*$C$4,$AO$7)/$C$4)),MIN(0.5,IF($AO$7="",0.5*$C$4,$AO$7)/$C$4)))))</f>
        <v>1</v>
      </c>
      <c r="L42" s="98" t="n">
        <f aca="false">IF(OR($G42="Not covered",$G42="Child-only"),0,IF($G42="Full",1,IF($G42="Ancillary",MAX(0.1,MIN(0.5,IF($AS42&lt;&gt;"",$AS42,IF($AP$7="",0.5*$C$4,$AP$7))/$C$4)),MIN(0.5,IF($AS42&lt;&gt;"",$AS42,IF($AP$7="",0.5*$C$4,$AP$7))/$C$4))))</f>
        <v>1</v>
      </c>
      <c r="M42" s="98" t="n">
        <f aca="false">IF(OR($H42="Not covered",$H42="Child-only"),0,IF($H42="Full",1,IF($H42="Ancillary",MAX(0.1,MIN(0.5,IF($AM42&lt;&gt;"",$AM42,IF($AQ$7="",0.5*$C$4,$AQ$7))/$C$4)),MIN(0.5,IF($AM42&lt;&gt;"",$AM42,IF($AQ$7="",0.5*$C$4,$AQ$7))/$C$4))))</f>
        <v>1</v>
      </c>
      <c r="N42" s="98" t="n">
        <f aca="false">IF(OR($I42="Not covered",$I42="Child-only"),0,IF($I42="Full",1,IF($I42="Ancillary",MAX(0.1,MIN(0.5,IF($AR$7="",0.5*$C$4,$AR$7)/$C$4)),MIN(0.5,IF($AR$7="",0.5*$C$4,$AR$7)/$C$4))))</f>
        <v>1</v>
      </c>
      <c r="P42" s="1" t="str">
        <f aca="false">IF(O42="","",1-EXP(-O42/100000))</f>
        <v/>
      </c>
      <c r="R42" s="1" t="s">
        <v>822</v>
      </c>
      <c r="S42" s="1" t="str">
        <f aca="false">IF($P42="","",$P42*J42*$C$4*$C$5)</f>
        <v/>
      </c>
      <c r="T42" s="1" t="str">
        <f aca="false">IF($P42="","",$P42*K42*$C$4*$C$5)</f>
        <v/>
      </c>
      <c r="U42" s="1" t="str">
        <f aca="false">IF($P42="","",$P42*L42*$C$4*$C$5)</f>
        <v/>
      </c>
      <c r="V42" s="1" t="str">
        <f aca="false">IF($P42="","",$P42*M42*$C$4*$C$5)</f>
        <v/>
      </c>
      <c r="W42" s="1" t="str">
        <f aca="false">IF($P42="","",$P42*N42*$C$4*$C$5)</f>
        <v/>
      </c>
      <c r="X42" s="1" t="str">
        <f aca="false">IF(S42="","",S42/$E$7)</f>
        <v/>
      </c>
      <c r="Y42" s="1" t="str">
        <f aca="false">IF(T42="","",T42/$F$7)</f>
        <v/>
      </c>
      <c r="Z42" s="1" t="str">
        <f aca="false">IF(U42="","",U42/$G$7)</f>
        <v/>
      </c>
      <c r="AA42" s="1" t="str">
        <f aca="false">IF(V42="","",V42/$H$7)</f>
        <v/>
      </c>
      <c r="AB42" s="1" t="str">
        <f aca="false">IF(W42="","",W42/$I$7)</f>
        <v/>
      </c>
      <c r="AC42" s="1" t="str">
        <f aca="false">IF(COUNTIF(X42:AB42,"&gt;="&amp;$C$6)&gt;0,"PROMOTE","")</f>
        <v/>
      </c>
      <c r="AD42" s="1" t="str">
        <f aca="false">IF(COUNTIF(Sources_06!$B$33:$B$73,A42)&gt;0,"Y","")</f>
        <v/>
      </c>
      <c r="AE42" s="1" t="str">
        <f aca="false">IF(AD42="Y",MIN(0.5,Sources_06!$D$11/$C$4),"")</f>
        <v/>
      </c>
      <c r="AK42" s="1" t="n">
        <v>47</v>
      </c>
      <c r="AL42" s="1" t="n">
        <v>74524</v>
      </c>
    </row>
    <row r="43" customFormat="false" ht="15" hidden="false" customHeight="true" outlineLevel="0" collapsed="false">
      <c r="A43" s="1" t="n">
        <v>36</v>
      </c>
      <c r="B43" s="1" t="str">
        <f aca="false">Wording_Ranks!B37</f>
        <v>Central Retinal Artery/Vein Occlusion (Eye Stroke)</v>
      </c>
      <c r="C43" s="1" t="str">
        <f aca="false">Wording_Ranks!C37</f>
        <v>Cardiovascular / Sensory</v>
      </c>
      <c r="D43" s="1" t="str">
        <f aca="false">Wording_Ranks!D37</f>
        <v>Low</v>
      </c>
      <c r="E43" s="1" t="str">
        <f aca="false">Wording_Ranks!F37</f>
        <v>Partial</v>
      </c>
      <c r="F43" s="1" t="str">
        <f aca="false">Wording_Ranks!H37</f>
        <v>Partial</v>
      </c>
      <c r="G43" s="1" t="str">
        <f aca="false">Wording_Ranks!J37</f>
        <v>Partial</v>
      </c>
      <c r="H43" s="1" t="str">
        <f aca="false">Wording_Ranks!M37</f>
        <v>Partial</v>
      </c>
      <c r="I43" s="1" t="str">
        <f aca="false">Wording_Ranks!O37</f>
        <v>Partial</v>
      </c>
      <c r="J43" s="98" t="n">
        <f aca="false">IF(OR($E43="Not covered",$E43="Child-only"),0,IF($E43="Full",1,IF($E43="Ancillary",MAX(0.1,MIN(0.5,IF($AN$7="",0.5*$C$4,$AN$7)/$C$4)),MIN(0.5,IF($AN$7="",0.5*$C$4,$AN$7)/$C$4))))</f>
        <v>0.124223602484472</v>
      </c>
      <c r="K43" s="98" t="n">
        <f aca="false">IF(OR($F43="Not covered",$F43="Child-only"),0,IF($F43="Full",1,IF($AD43="Y",$AE43,IF($F43="Ancillary",MAX(0.1,MIN(0.5,IF($AO$7="",0.5*$C$4,$AO$7)/$C$4)),MIN(0.5,IF($AO$7="",0.5*$C$4,$AO$7)/$C$4)))))</f>
        <v>0.093167701863354</v>
      </c>
      <c r="L43" s="98" t="n">
        <f aca="false">IF(OR($G43="Not covered",$G43="Child-only"),0,IF($G43="Full",1,IF($G43="Ancillary",MAX(0.1,MIN(0.5,IF($AS43&lt;&gt;"",$AS43,IF($AP$7="",0.5*$C$4,$AP$7))/$C$4)),MIN(0.5,IF($AS43&lt;&gt;"",$AS43,IF($AP$7="",0.5*$C$4,$AP$7))/$C$4))))</f>
        <v>0.093167701863354</v>
      </c>
      <c r="M43" s="98" t="n">
        <f aca="false">IF(OR($H43="Not covered",$H43="Child-only"),0,IF($H43="Full",1,IF($H43="Ancillary",MAX(0.1,MIN(0.5,IF($AM43&lt;&gt;"",$AM43,IF($AQ$7="",0.5*$C$4,$AQ$7))/$C$4)),MIN(0.5,IF($AM43&lt;&gt;"",$AM43,IF($AQ$7="",0.5*$C$4,$AQ$7))/$C$4))))</f>
        <v>0.093167701863354</v>
      </c>
      <c r="N43" s="98" t="n">
        <f aca="false">IF(OR($I43="Not covered",$I43="Child-only"),0,IF($I43="Full",1,IF($I43="Ancillary",MAX(0.1,MIN(0.5,IF($AR$7="",0.5*$C$4,$AR$7)/$C$4)),MIN(0.5,IF($AR$7="",0.5*$C$4,$AR$7)/$C$4))))</f>
        <v>0.093167701863354</v>
      </c>
      <c r="O43" s="1" t="n">
        <f aca="false">IF(OR($AF$7="",$AG$7=""),"",MAX(AF43/$AF$7,AG43/$AG$7)*100000*IF(AI43="",1,AI43))</f>
        <v>1485.06736810527</v>
      </c>
      <c r="P43" s="1" t="n">
        <f aca="false">IF(O43="","",1-EXP(-O43/100000))</f>
        <v>0.0147409462735134</v>
      </c>
      <c r="Q43" s="1" t="s">
        <v>965</v>
      </c>
      <c r="R43" s="1" t="s">
        <v>1137</v>
      </c>
      <c r="S43" s="1" t="n">
        <f aca="false">IF($P43="","",$P43*J43*$C$4*$C$5)</f>
        <v>5778.58105739369</v>
      </c>
      <c r="T43" s="1" t="n">
        <f aca="false">IF($P43="","",$P43*K43*$C$4*$C$5)</f>
        <v>4333.93579304527</v>
      </c>
      <c r="U43" s="1" t="n">
        <f aca="false">IF($P43="","",$P43*L43*$C$4*$C$5)</f>
        <v>4333.93579304527</v>
      </c>
      <c r="V43" s="1" t="n">
        <f aca="false">IF($P43="","",$P43*M43*$C$4*$C$5)</f>
        <v>4333.93579304527</v>
      </c>
      <c r="W43" s="1" t="n">
        <f aca="false">IF($P43="","",$P43*N43*$C$4*$C$5)</f>
        <v>4333.93579304527</v>
      </c>
      <c r="X43" s="1" t="n">
        <f aca="false">IF(S43="","",S43/$E$7)</f>
        <v>0.360004012434192</v>
      </c>
      <c r="Y43" s="1" t="n">
        <f aca="false">IF(T43="","",T43/$F$7)</f>
        <v>0.395577522611098</v>
      </c>
      <c r="Z43" s="1" t="n">
        <f aca="false">IF(U43="","",U43/$G$7)</f>
        <v>0.71668437705368</v>
      </c>
      <c r="AA43" s="1" t="n">
        <f aca="false">IF(V43="","",V43/$H$7)</f>
        <v>0.304782588149935</v>
      </c>
      <c r="AB43" s="1" t="n">
        <f aca="false">IF(W43="","",W43/$I$7)</f>
        <v>0.287413039391632</v>
      </c>
      <c r="AC43" s="1" t="str">
        <f aca="false">IF(COUNTIF(X43:AB43,"&gt;="&amp;$C$6)&gt;0,"PROMOTE","")</f>
        <v>PROMOTE</v>
      </c>
      <c r="AD43" s="1" t="str">
        <f aca="false">IF(COUNTIF(Sources_06!$B$33:$B$73,A43)&gt;0,"Y","")</f>
        <v>Y</v>
      </c>
      <c r="AE43" s="1" t="n">
        <f aca="false">IF(AD43="Y",MIN(0.5,Sources_06!$D$11/$C$4),"")</f>
        <v>0.093167701863354</v>
      </c>
      <c r="AF43" s="1" t="n">
        <v>7097</v>
      </c>
      <c r="AG43" s="1" t="n">
        <v>19207</v>
      </c>
      <c r="AH43" s="1" t="s">
        <v>1156</v>
      </c>
      <c r="AJ43" s="1" t="s">
        <v>1157</v>
      </c>
      <c r="AK43" s="1" t="n">
        <v>48</v>
      </c>
      <c r="AL43" s="1" t="n">
        <v>73617</v>
      </c>
    </row>
    <row r="44" customFormat="false" ht="15" hidden="false" customHeight="true" outlineLevel="0" collapsed="false">
      <c r="A44" s="1" t="n">
        <v>37</v>
      </c>
      <c r="B44" s="1" t="str">
        <f aca="false">Wording_Ranks!B38</f>
        <v>Child Overseas Surgery Benefit</v>
      </c>
      <c r="C44" s="1" t="str">
        <f aca="false">Wording_Ranks!C38</f>
        <v>Children's / Ancillary</v>
      </c>
      <c r="D44" s="1" t="str">
        <f aca="false">Wording_Ranks!D38</f>
        <v>Rare</v>
      </c>
      <c r="E44" s="1" t="str">
        <f aca="false">Wording_Ranks!F38</f>
        <v>Not covered</v>
      </c>
      <c r="F44" s="1" t="str">
        <f aca="false">Wording_Ranks!H38</f>
        <v>Not covered</v>
      </c>
      <c r="G44" s="1" t="str">
        <f aca="false">Wording_Ranks!J38</f>
        <v>Not covered</v>
      </c>
      <c r="H44" s="1" t="str">
        <f aca="false">Wording_Ranks!M38</f>
        <v>Not covered</v>
      </c>
      <c r="I44" s="1" t="str">
        <f aca="false">Wording_Ranks!O38</f>
        <v>Child-only</v>
      </c>
      <c r="J44" s="98" t="n">
        <f aca="false">IF(OR($E44="Not covered",$E44="Child-only"),0,IF($E44="Full",1,IF($E44="Ancillary",MAX(0.1,MIN(0.5,IF($AN$7="",0.5*$C$4,$AN$7)/$C$4)),MIN(0.5,IF($AN$7="",0.5*$C$4,$AN$7)/$C$4))))</f>
        <v>0</v>
      </c>
      <c r="K44" s="98" t="n">
        <f aca="false">IF(OR($F44="Not covered",$F44="Child-only"),0,IF($F44="Full",1,IF($AD44="Y",$AE44,IF($F44="Ancillary",MAX(0.1,MIN(0.5,IF($AO$7="",0.5*$C$4,$AO$7)/$C$4)),MIN(0.5,IF($AO$7="",0.5*$C$4,$AO$7)/$C$4)))))</f>
        <v>0</v>
      </c>
      <c r="L44" s="98" t="n">
        <f aca="false">IF(OR($G44="Not covered",$G44="Child-only"),0,IF($G44="Full",1,IF($G44="Ancillary",MAX(0.1,MIN(0.5,IF($AS44&lt;&gt;"",$AS44,IF($AP$7="",0.5*$C$4,$AP$7))/$C$4)),MIN(0.5,IF($AS44&lt;&gt;"",$AS44,IF($AP$7="",0.5*$C$4,$AP$7))/$C$4))))</f>
        <v>0</v>
      </c>
      <c r="M44" s="98" t="n">
        <f aca="false">IF(OR($H44="Not covered",$H44="Child-only"),0,IF($H44="Full",1,IF($H44="Ancillary",MAX(0.1,MIN(0.5,IF($AM44&lt;&gt;"",$AM44,IF($AQ$7="",0.5*$C$4,$AQ$7))/$C$4)),MIN(0.5,IF($AM44&lt;&gt;"",$AM44,IF($AQ$7="",0.5*$C$4,$AQ$7))/$C$4))))</f>
        <v>0</v>
      </c>
      <c r="N44" s="98" t="n">
        <f aca="false">IF(OR($I44="Not covered",$I44="Child-only"),0,IF($I44="Full",1,IF($I44="Ancillary",MAX(0.1,MIN(0.5,IF($AR$7="",0.5*$C$4,$AR$7)/$C$4)),MIN(0.5,IF($AR$7="",0.5*$C$4,$AR$7)/$C$4))))</f>
        <v>0</v>
      </c>
      <c r="P44" s="1" t="str">
        <f aca="false">IF(O44="","",1-EXP(-O44/100000))</f>
        <v/>
      </c>
      <c r="R44" s="1" t="s">
        <v>1136</v>
      </c>
      <c r="S44" s="1" t="str">
        <f aca="false">IF($P44="","",$P44*J44*$C$4*$C$5)</f>
        <v/>
      </c>
      <c r="T44" s="1" t="str">
        <f aca="false">IF($P44="","",$P44*K44*$C$4*$C$5)</f>
        <v/>
      </c>
      <c r="U44" s="1" t="str">
        <f aca="false">IF($P44="","",$P44*L44*$C$4*$C$5)</f>
        <v/>
      </c>
      <c r="V44" s="1" t="str">
        <f aca="false">IF($P44="","",$P44*M44*$C$4*$C$5)</f>
        <v/>
      </c>
      <c r="W44" s="1" t="str">
        <f aca="false">IF($P44="","",$P44*N44*$C$4*$C$5)</f>
        <v/>
      </c>
      <c r="X44" s="1" t="str">
        <f aca="false">IF(S44="","",S44/$E$7)</f>
        <v/>
      </c>
      <c r="Y44" s="1" t="str">
        <f aca="false">IF(T44="","",T44/$F$7)</f>
        <v/>
      </c>
      <c r="Z44" s="1" t="str">
        <f aca="false">IF(U44="","",U44/$G$7)</f>
        <v/>
      </c>
      <c r="AA44" s="1" t="str">
        <f aca="false">IF(V44="","",V44/$H$7)</f>
        <v/>
      </c>
      <c r="AB44" s="1" t="str">
        <f aca="false">IF(W44="","",W44/$I$7)</f>
        <v/>
      </c>
      <c r="AC44" s="1" t="str">
        <f aca="false">IF(COUNTIF(X44:AB44,"&gt;="&amp;$C$6)&gt;0,"PROMOTE","")</f>
        <v/>
      </c>
      <c r="AD44" s="1" t="str">
        <f aca="false">IF(COUNTIF(Sources_06!$B$33:$B$73,A44)&gt;0,"Y","")</f>
        <v/>
      </c>
      <c r="AE44" s="1" t="str">
        <f aca="false">IF(AD44="Y",MIN(0.5,Sources_06!$D$11/$C$4),"")</f>
        <v/>
      </c>
      <c r="AK44" s="1" t="n">
        <v>49</v>
      </c>
      <c r="AL44" s="1" t="n">
        <v>73731</v>
      </c>
    </row>
    <row r="45" customFormat="false" ht="15" hidden="false" customHeight="true" outlineLevel="0" collapsed="false">
      <c r="A45" s="1" t="n">
        <v>38</v>
      </c>
      <c r="B45" s="1" t="str">
        <f aca="false">Wording_Ranks!B39</f>
        <v>Children's Hospital Cash Cover</v>
      </c>
      <c r="C45" s="1" t="str">
        <f aca="false">Wording_Ranks!C39</f>
        <v>Children's / Ancillary</v>
      </c>
      <c r="D45" s="1" t="str">
        <f aca="false">Wording_Ranks!D39</f>
        <v>Not primarily illness claim</v>
      </c>
      <c r="E45" s="1" t="str">
        <f aca="false">Wording_Ranks!F39</f>
        <v>Not covered</v>
      </c>
      <c r="F45" s="1" t="str">
        <f aca="false">Wording_Ranks!H39</f>
        <v>Ancillary</v>
      </c>
      <c r="G45" s="1" t="str">
        <f aca="false">Wording_Ranks!J39</f>
        <v>Ancillary</v>
      </c>
      <c r="H45" s="1" t="str">
        <f aca="false">Wording_Ranks!M39</f>
        <v>Not covered</v>
      </c>
      <c r="I45" s="1" t="str">
        <f aca="false">Wording_Ranks!O39</f>
        <v>Ancillary</v>
      </c>
      <c r="J45" s="98" t="n">
        <f aca="false">IF(OR($E45="Not covered",$E45="Child-only"),0,IF($E45="Full",1,IF($E45="Ancillary",MAX(0.1,MIN(0.5,IF($AN$7="",0.5*$C$4,$AN$7)/$C$4)),MIN(0.5,IF($AN$7="",0.5*$C$4,$AN$7)/$C$4))))</f>
        <v>0</v>
      </c>
      <c r="K45" s="98" t="n">
        <f aca="false">IF(OR($F45="Not covered",$F45="Child-only"),0,IF($F45="Full",1,IF($AD45="Y",$AE45,IF($F45="Ancillary",MAX(0.1,MIN(0.5,IF($AO$7="",0.5*$C$4,$AO$7)/$C$4)),MIN(0.5,IF($AO$7="",0.5*$C$4,$AO$7)/$C$4)))))</f>
        <v>0.1</v>
      </c>
      <c r="L45" s="98" t="n">
        <f aca="false">IF(OR($G45="Not covered",$G45="Child-only"),0,IF($G45="Full",1,IF($G45="Ancillary",MAX(0.1,MIN(0.5,IF($AS45&lt;&gt;"",$AS45,IF($AP$7="",0.5*$C$4,$AP$7))/$C$4)),MIN(0.5,IF($AS45&lt;&gt;"",$AS45,IF($AP$7="",0.5*$C$4,$AP$7))/$C$4))))</f>
        <v>0.1</v>
      </c>
      <c r="M45" s="98" t="n">
        <f aca="false">IF(OR($H45="Not covered",$H45="Child-only"),0,IF($H45="Full",1,IF($H45="Ancillary",MAX(0.1,MIN(0.5,IF($AM45&lt;&gt;"",$AM45,IF($AQ$7="",0.5*$C$4,$AQ$7))/$C$4)),MIN(0.5,IF($AM45&lt;&gt;"",$AM45,IF($AQ$7="",0.5*$C$4,$AQ$7))/$C$4))))</f>
        <v>0</v>
      </c>
      <c r="N45" s="98" t="n">
        <f aca="false">IF(OR($I45="Not covered",$I45="Child-only"),0,IF($I45="Full",1,IF($I45="Ancillary",MAX(0.1,MIN(0.5,IF($AR$7="",0.5*$C$4,$AR$7)/$C$4)),MIN(0.5,IF($AR$7="",0.5*$C$4,$AR$7)/$C$4))))</f>
        <v>0.1</v>
      </c>
      <c r="P45" s="1" t="str">
        <f aca="false">IF(O45="","",1-EXP(-O45/100000))</f>
        <v/>
      </c>
      <c r="R45" s="1" t="s">
        <v>1136</v>
      </c>
      <c r="S45" s="1" t="str">
        <f aca="false">IF($P45="","",$P45*J45*$C$4*$C$5)</f>
        <v/>
      </c>
      <c r="T45" s="1" t="str">
        <f aca="false">IF($P45="","",$P45*K45*$C$4*$C$5)</f>
        <v/>
      </c>
      <c r="U45" s="1" t="str">
        <f aca="false">IF($P45="","",$P45*L45*$C$4*$C$5)</f>
        <v/>
      </c>
      <c r="V45" s="1" t="str">
        <f aca="false">IF($P45="","",$P45*M45*$C$4*$C$5)</f>
        <v/>
      </c>
      <c r="W45" s="1" t="str">
        <f aca="false">IF($P45="","",$P45*N45*$C$4*$C$5)</f>
        <v/>
      </c>
      <c r="X45" s="1" t="str">
        <f aca="false">IF(S45="","",S45/$E$7)</f>
        <v/>
      </c>
      <c r="Y45" s="1" t="str">
        <f aca="false">IF(T45="","",T45/$F$7)</f>
        <v/>
      </c>
      <c r="Z45" s="1" t="str">
        <f aca="false">IF(U45="","",U45/$G$7)</f>
        <v/>
      </c>
      <c r="AA45" s="1" t="str">
        <f aca="false">IF(V45="","",V45/$H$7)</f>
        <v/>
      </c>
      <c r="AB45" s="1" t="str">
        <f aca="false">IF(W45="","",W45/$I$7)</f>
        <v/>
      </c>
      <c r="AC45" s="1" t="str">
        <f aca="false">IF(COUNTIF(X45:AB45,"&gt;="&amp;$C$6)&gt;0,"PROMOTE","")</f>
        <v/>
      </c>
      <c r="AD45" s="1" t="str">
        <f aca="false">IF(COUNTIF(Sources_06!$B$33:$B$73,A45)&gt;0,"Y","")</f>
        <v/>
      </c>
      <c r="AE45" s="1" t="str">
        <f aca="false">IF(AD45="Y",MIN(0.5,Sources_06!$D$11/$C$4),"")</f>
        <v/>
      </c>
      <c r="AK45" s="1" t="n">
        <v>50</v>
      </c>
      <c r="AL45" s="1" t="n">
        <v>72249</v>
      </c>
    </row>
    <row r="46" customFormat="false" ht="15" hidden="false" customHeight="true" outlineLevel="0" collapsed="false">
      <c r="A46" s="1" t="n">
        <v>39</v>
      </c>
      <c r="B46" s="1" t="str">
        <f aca="false">Wording_Ranks!B40</f>
        <v>Children's Life Cover</v>
      </c>
      <c r="C46" s="1" t="str">
        <f aca="false">Wording_Ranks!C40</f>
        <v>Children's / Ancillary</v>
      </c>
      <c r="D46" s="1" t="str">
        <f aca="false">Wording_Ranks!D40</f>
        <v>Not primarily illness claim</v>
      </c>
      <c r="E46" s="1" t="str">
        <f aca="false">Wording_Ranks!F40</f>
        <v>Not covered</v>
      </c>
      <c r="F46" s="1" t="str">
        <f aca="false">Wording_Ranks!H40</f>
        <v>Ancillary</v>
      </c>
      <c r="G46" s="1" t="str">
        <f aca="false">Wording_Ranks!J40</f>
        <v>Not covered</v>
      </c>
      <c r="H46" s="1" t="str">
        <f aca="false">Wording_Ranks!M40</f>
        <v>Ancillary</v>
      </c>
      <c r="I46" s="1" t="str">
        <f aca="false">Wording_Ranks!O40</f>
        <v>Ancillary</v>
      </c>
      <c r="J46" s="98" t="n">
        <f aca="false">IF(OR($E46="Not covered",$E46="Child-only"),0,IF($E46="Full",1,IF($E46="Ancillary",MAX(0.1,MIN(0.5,IF($AN$7="",0.5*$C$4,$AN$7)/$C$4)),MIN(0.5,IF($AN$7="",0.5*$C$4,$AN$7)/$C$4))))</f>
        <v>0</v>
      </c>
      <c r="K46" s="98" t="n">
        <f aca="false">IF(OR($F46="Not covered",$F46="Child-only"),0,IF($F46="Full",1,IF($AD46="Y",$AE46,IF($F46="Ancillary",MAX(0.1,MIN(0.5,IF($AO$7="",0.5*$C$4,$AO$7)/$C$4)),MIN(0.5,IF($AO$7="",0.5*$C$4,$AO$7)/$C$4)))))</f>
        <v>0.1</v>
      </c>
      <c r="L46" s="98" t="n">
        <f aca="false">IF(OR($G46="Not covered",$G46="Child-only"),0,IF($G46="Full",1,IF($G46="Ancillary",MAX(0.1,MIN(0.5,IF($AS46&lt;&gt;"",$AS46,IF($AP$7="",0.5*$C$4,$AP$7))/$C$4)),MIN(0.5,IF($AS46&lt;&gt;"",$AS46,IF($AP$7="",0.5*$C$4,$AP$7))/$C$4))))</f>
        <v>0</v>
      </c>
      <c r="M46" s="98" t="n">
        <f aca="false">IF(OR($H46="Not covered",$H46="Child-only"),0,IF($H46="Full",1,IF($H46="Ancillary",MAX(0.1,MIN(0.5,IF($AM46&lt;&gt;"",$AM46,IF($AQ$7="",0.5*$C$4,$AQ$7))/$C$4)),MIN(0.5,IF($AM46&lt;&gt;"",$AM46,IF($AQ$7="",0.5*$C$4,$AQ$7))/$C$4))))</f>
        <v>0.1</v>
      </c>
      <c r="N46" s="98" t="n">
        <f aca="false">IF(OR($I46="Not covered",$I46="Child-only"),0,IF($I46="Full",1,IF($I46="Ancillary",MAX(0.1,MIN(0.5,IF($AR$7="",0.5*$C$4,$AR$7)/$C$4)),MIN(0.5,IF($AR$7="",0.5*$C$4,$AR$7)/$C$4))))</f>
        <v>0.1</v>
      </c>
      <c r="P46" s="1" t="str">
        <f aca="false">IF(O46="","",1-EXP(-O46/100000))</f>
        <v/>
      </c>
      <c r="R46" s="1" t="s">
        <v>1136</v>
      </c>
      <c r="S46" s="1" t="str">
        <f aca="false">IF($P46="","",$P46*J46*$C$4*$C$5)</f>
        <v/>
      </c>
      <c r="T46" s="1" t="str">
        <f aca="false">IF($P46="","",$P46*K46*$C$4*$C$5)</f>
        <v/>
      </c>
      <c r="U46" s="1" t="str">
        <f aca="false">IF($P46="","",$P46*L46*$C$4*$C$5)</f>
        <v/>
      </c>
      <c r="V46" s="1" t="str">
        <f aca="false">IF($P46="","",$P46*M46*$C$4*$C$5)</f>
        <v/>
      </c>
      <c r="W46" s="1" t="str">
        <f aca="false">IF($P46="","",$P46*N46*$C$4*$C$5)</f>
        <v/>
      </c>
      <c r="X46" s="1" t="str">
        <f aca="false">IF(S46="","",S46/$E$7)</f>
        <v/>
      </c>
      <c r="Y46" s="1" t="str">
        <f aca="false">IF(T46="","",T46/$F$7)</f>
        <v/>
      </c>
      <c r="Z46" s="1" t="str">
        <f aca="false">IF(U46="","",U46/$G$7)</f>
        <v/>
      </c>
      <c r="AA46" s="1" t="str">
        <f aca="false">IF(V46="","",V46/$H$7)</f>
        <v/>
      </c>
      <c r="AB46" s="1" t="str">
        <f aca="false">IF(W46="","",W46/$I$7)</f>
        <v/>
      </c>
      <c r="AC46" s="1" t="str">
        <f aca="false">IF(COUNTIF(X46:AB46,"&gt;="&amp;$C$6)&gt;0,"PROMOTE","")</f>
        <v/>
      </c>
      <c r="AD46" s="1" t="str">
        <f aca="false">IF(COUNTIF(Sources_06!$B$33:$B$73,A46)&gt;0,"Y","")</f>
        <v/>
      </c>
      <c r="AE46" s="1" t="str">
        <f aca="false">IF(AD46="Y",MIN(0.5,Sources_06!$D$11/$C$4),"")</f>
        <v/>
      </c>
      <c r="AK46" s="1" t="n">
        <v>51</v>
      </c>
      <c r="AL46" s="1" t="n">
        <v>69951</v>
      </c>
    </row>
    <row r="47" customFormat="false" ht="15" hidden="false" customHeight="true" outlineLevel="0" collapsed="false">
      <c r="A47" s="1" t="n">
        <v>40</v>
      </c>
      <c r="B47" s="1" t="str">
        <f aca="false">Wording_Ranks!B41</f>
        <v>Children's Partial Payment Serious Illness Benefit</v>
      </c>
      <c r="C47" s="1" t="str">
        <f aca="false">Wording_Ranks!C41</f>
        <v>Children's / Ancillary</v>
      </c>
      <c r="D47" s="1" t="str">
        <f aca="false">Wording_Ranks!D41</f>
        <v>Low</v>
      </c>
      <c r="E47" s="1" t="str">
        <f aca="false">Wording_Ranks!F41</f>
        <v>Not covered</v>
      </c>
      <c r="F47" s="1" t="str">
        <f aca="false">Wording_Ranks!H41</f>
        <v>Not covered</v>
      </c>
      <c r="G47" s="1" t="str">
        <f aca="false">Wording_Ranks!J41</f>
        <v>Not covered</v>
      </c>
      <c r="H47" s="1" t="str">
        <f aca="false">Wording_Ranks!M41</f>
        <v>Not covered</v>
      </c>
      <c r="I47" s="1" t="str">
        <f aca="false">Wording_Ranks!O41</f>
        <v>Child-only</v>
      </c>
      <c r="J47" s="98" t="n">
        <f aca="false">IF(OR($E47="Not covered",$E47="Child-only"),0,IF($E47="Full",1,IF($E47="Ancillary",MAX(0.1,MIN(0.5,IF($AN$7="",0.5*$C$4,$AN$7)/$C$4)),MIN(0.5,IF($AN$7="",0.5*$C$4,$AN$7)/$C$4))))</f>
        <v>0</v>
      </c>
      <c r="K47" s="98" t="n">
        <f aca="false">IF(OR($F47="Not covered",$F47="Child-only"),0,IF($F47="Full",1,IF($AD47="Y",$AE47,IF($F47="Ancillary",MAX(0.1,MIN(0.5,IF($AO$7="",0.5*$C$4,$AO$7)/$C$4)),MIN(0.5,IF($AO$7="",0.5*$C$4,$AO$7)/$C$4)))))</f>
        <v>0</v>
      </c>
      <c r="L47" s="98" t="n">
        <f aca="false">IF(OR($G47="Not covered",$G47="Child-only"),0,IF($G47="Full",1,IF($G47="Ancillary",MAX(0.1,MIN(0.5,IF($AS47&lt;&gt;"",$AS47,IF($AP$7="",0.5*$C$4,$AP$7))/$C$4)),MIN(0.5,IF($AS47&lt;&gt;"",$AS47,IF($AP$7="",0.5*$C$4,$AP$7))/$C$4))))</f>
        <v>0</v>
      </c>
      <c r="M47" s="98" t="n">
        <f aca="false">IF(OR($H47="Not covered",$H47="Child-only"),0,IF($H47="Full",1,IF($H47="Ancillary",MAX(0.1,MIN(0.5,IF($AM47&lt;&gt;"",$AM47,IF($AQ$7="",0.5*$C$4,$AQ$7))/$C$4)),MIN(0.5,IF($AM47&lt;&gt;"",$AM47,IF($AQ$7="",0.5*$C$4,$AQ$7))/$C$4))))</f>
        <v>0</v>
      </c>
      <c r="N47" s="98" t="n">
        <f aca="false">IF(OR($I47="Not covered",$I47="Child-only"),0,IF($I47="Full",1,IF($I47="Ancillary",MAX(0.1,MIN(0.5,IF($AR$7="",0.5*$C$4,$AR$7)/$C$4)),MIN(0.5,IF($AR$7="",0.5*$C$4,$AR$7)/$C$4))))</f>
        <v>0</v>
      </c>
      <c r="P47" s="1" t="str">
        <f aca="false">IF(O47="","",1-EXP(-O47/100000))</f>
        <v/>
      </c>
      <c r="R47" s="1" t="s">
        <v>1136</v>
      </c>
      <c r="S47" s="1" t="str">
        <f aca="false">IF($P47="","",$P47*J47*$C$4*$C$5)</f>
        <v/>
      </c>
      <c r="T47" s="1" t="str">
        <f aca="false">IF($P47="","",$P47*K47*$C$4*$C$5)</f>
        <v/>
      </c>
      <c r="U47" s="1" t="str">
        <f aca="false">IF($P47="","",$P47*L47*$C$4*$C$5)</f>
        <v/>
      </c>
      <c r="V47" s="1" t="str">
        <f aca="false">IF($P47="","",$P47*M47*$C$4*$C$5)</f>
        <v/>
      </c>
      <c r="W47" s="1" t="str">
        <f aca="false">IF($P47="","",$P47*N47*$C$4*$C$5)</f>
        <v/>
      </c>
      <c r="X47" s="1" t="str">
        <f aca="false">IF(S47="","",S47/$E$7)</f>
        <v/>
      </c>
      <c r="Y47" s="1" t="str">
        <f aca="false">IF(T47="","",T47/$F$7)</f>
        <v/>
      </c>
      <c r="Z47" s="1" t="str">
        <f aca="false">IF(U47="","",U47/$G$7)</f>
        <v/>
      </c>
      <c r="AA47" s="1" t="str">
        <f aca="false">IF(V47="","",V47/$H$7)</f>
        <v/>
      </c>
      <c r="AB47" s="1" t="str">
        <f aca="false">IF(W47="","",W47/$I$7)</f>
        <v/>
      </c>
      <c r="AC47" s="1" t="str">
        <f aca="false">IF(COUNTIF(X47:AB47,"&gt;="&amp;$C$6)&gt;0,"PROMOTE","")</f>
        <v/>
      </c>
      <c r="AD47" s="1" t="str">
        <f aca="false">IF(COUNTIF(Sources_06!$B$33:$B$73,A47)&gt;0,"Y","")</f>
        <v/>
      </c>
      <c r="AE47" s="1" t="str">
        <f aca="false">IF(AD47="Y",MIN(0.5,Sources_06!$D$11/$C$4),"")</f>
        <v/>
      </c>
      <c r="AK47" s="1" t="n">
        <v>52</v>
      </c>
      <c r="AL47" s="1" t="n">
        <v>68770</v>
      </c>
    </row>
    <row r="48" customFormat="false" ht="15" hidden="false" customHeight="true" outlineLevel="0" collapsed="false">
      <c r="A48" s="1" t="n">
        <v>41</v>
      </c>
      <c r="B48" s="1" t="str">
        <f aca="false">Wording_Ranks!B42</f>
        <v>Children's Specified Illness Cover</v>
      </c>
      <c r="C48" s="1" t="str">
        <f aca="false">Wording_Ranks!C42</f>
        <v>Children's / Ancillary</v>
      </c>
      <c r="D48" s="1" t="str">
        <f aca="false">Wording_Ranks!D42</f>
        <v>Medium</v>
      </c>
      <c r="E48" s="1" t="str">
        <f aca="false">Wording_Ranks!F42</f>
        <v>Not covered</v>
      </c>
      <c r="F48" s="1" t="str">
        <f aca="false">Wording_Ranks!H42</f>
        <v>Child-only</v>
      </c>
      <c r="G48" s="1" t="str">
        <f aca="false">Wording_Ranks!J42</f>
        <v>Child-only</v>
      </c>
      <c r="H48" s="1" t="str">
        <f aca="false">Wording_Ranks!M42</f>
        <v>Child-only</v>
      </c>
      <c r="I48" s="1" t="str">
        <f aca="false">Wording_Ranks!O42</f>
        <v>Not covered</v>
      </c>
      <c r="J48" s="98" t="n">
        <f aca="false">IF(OR($E48="Not covered",$E48="Child-only"),0,IF($E48="Full",1,IF($E48="Ancillary",MAX(0.1,MIN(0.5,IF($AN$7="",0.5*$C$4,$AN$7)/$C$4)),MIN(0.5,IF($AN$7="",0.5*$C$4,$AN$7)/$C$4))))</f>
        <v>0</v>
      </c>
      <c r="K48" s="98" t="n">
        <f aca="false">IF(OR($F48="Not covered",$F48="Child-only"),0,IF($F48="Full",1,IF($AD48="Y",$AE48,IF($F48="Ancillary",MAX(0.1,MIN(0.5,IF($AO$7="",0.5*$C$4,$AO$7)/$C$4)),MIN(0.5,IF($AO$7="",0.5*$C$4,$AO$7)/$C$4)))))</f>
        <v>0</v>
      </c>
      <c r="L48" s="98" t="n">
        <f aca="false">IF(OR($G48="Not covered",$G48="Child-only"),0,IF($G48="Full",1,IF($G48="Ancillary",MAX(0.1,MIN(0.5,IF($AS48&lt;&gt;"",$AS48,IF($AP$7="",0.5*$C$4,$AP$7))/$C$4)),MIN(0.5,IF($AS48&lt;&gt;"",$AS48,IF($AP$7="",0.5*$C$4,$AP$7))/$C$4))))</f>
        <v>0</v>
      </c>
      <c r="M48" s="98" t="n">
        <f aca="false">IF(OR($H48="Not covered",$H48="Child-only"),0,IF($H48="Full",1,IF($H48="Ancillary",MAX(0.1,MIN(0.5,IF($AM48&lt;&gt;"",$AM48,IF($AQ$7="",0.5*$C$4,$AQ$7))/$C$4)),MIN(0.5,IF($AM48&lt;&gt;"",$AM48,IF($AQ$7="",0.5*$C$4,$AQ$7))/$C$4))))</f>
        <v>0</v>
      </c>
      <c r="N48" s="98" t="n">
        <f aca="false">IF(OR($I48="Not covered",$I48="Child-only"),0,IF($I48="Full",1,IF($I48="Ancillary",MAX(0.1,MIN(0.5,IF($AR$7="",0.5*$C$4,$AR$7)/$C$4)),MIN(0.5,IF($AR$7="",0.5*$C$4,$AR$7)/$C$4))))</f>
        <v>0</v>
      </c>
      <c r="P48" s="1" t="str">
        <f aca="false">IF(O48="","",1-EXP(-O48/100000))</f>
        <v/>
      </c>
      <c r="R48" s="1" t="s">
        <v>1136</v>
      </c>
      <c r="S48" s="1" t="str">
        <f aca="false">IF($P48="","",$P48*J48*$C$4*$C$5)</f>
        <v/>
      </c>
      <c r="T48" s="1" t="str">
        <f aca="false">IF($P48="","",$P48*K48*$C$4*$C$5)</f>
        <v/>
      </c>
      <c r="U48" s="1" t="str">
        <f aca="false">IF($P48="","",$P48*L48*$C$4*$C$5)</f>
        <v/>
      </c>
      <c r="V48" s="1" t="str">
        <f aca="false">IF($P48="","",$P48*M48*$C$4*$C$5)</f>
        <v/>
      </c>
      <c r="W48" s="1" t="str">
        <f aca="false">IF($P48="","",$P48*N48*$C$4*$C$5)</f>
        <v/>
      </c>
      <c r="X48" s="1" t="str">
        <f aca="false">IF(S48="","",S48/$E$7)</f>
        <v/>
      </c>
      <c r="Y48" s="1" t="str">
        <f aca="false">IF(T48="","",T48/$F$7)</f>
        <v/>
      </c>
      <c r="Z48" s="1" t="str">
        <f aca="false">IF(U48="","",U48/$G$7)</f>
        <v/>
      </c>
      <c r="AA48" s="1" t="str">
        <f aca="false">IF(V48="","",V48/$H$7)</f>
        <v/>
      </c>
      <c r="AB48" s="1" t="str">
        <f aca="false">IF(W48="","",W48/$I$7)</f>
        <v/>
      </c>
      <c r="AC48" s="1" t="str">
        <f aca="false">IF(COUNTIF(X48:AB48,"&gt;="&amp;$C$6)&gt;0,"PROMOTE","")</f>
        <v/>
      </c>
      <c r="AD48" s="1" t="str">
        <f aca="false">IF(COUNTIF(Sources_06!$B$33:$B$73,A48)&gt;0,"Y","")</f>
        <v/>
      </c>
      <c r="AE48" s="1" t="str">
        <f aca="false">IF(AD48="Y",MIN(0.5,Sources_06!$D$11/$C$4),"")</f>
        <v/>
      </c>
      <c r="AK48" s="1" t="n">
        <v>53</v>
      </c>
      <c r="AL48" s="1" t="n">
        <v>64815</v>
      </c>
    </row>
    <row r="49" customFormat="false" ht="15" hidden="false" customHeight="true" outlineLevel="0" collapsed="false">
      <c r="A49" s="1" t="n">
        <v>42</v>
      </c>
      <c r="B49" s="1" t="str">
        <f aca="false">Wording_Ranks!B43</f>
        <v>Intensive Care – Mechanical Ventilation 10+ Days</v>
      </c>
      <c r="C49" s="1" t="str">
        <f aca="false">Wording_Ranks!C43</f>
        <v>Critical Care</v>
      </c>
      <c r="D49" s="1" t="str">
        <f aca="false">Wording_Ranks!D43</f>
        <v>Low</v>
      </c>
      <c r="E49" s="1" t="str">
        <f aca="false">Wording_Ranks!F43</f>
        <v>Full</v>
      </c>
      <c r="F49" s="1" t="str">
        <f aca="false">Wording_Ranks!H43</f>
        <v>Full</v>
      </c>
      <c r="G49" s="1" t="str">
        <f aca="false">Wording_Ranks!J43</f>
        <v>Full</v>
      </c>
      <c r="H49" s="1" t="str">
        <f aca="false">Wording_Ranks!M43</f>
        <v>Full</v>
      </c>
      <c r="I49" s="1" t="str">
        <f aca="false">Wording_Ranks!O43</f>
        <v>Full</v>
      </c>
      <c r="J49" s="98" t="n">
        <f aca="false">IF(OR($E49="Not covered",$E49="Child-only"),0,IF($E49="Full",1,IF($E49="Ancillary",MAX(0.1,MIN(0.5,IF($AN$7="",0.5*$C$4,$AN$7)/$C$4)),MIN(0.5,IF($AN$7="",0.5*$C$4,$AN$7)/$C$4))))</f>
        <v>1</v>
      </c>
      <c r="K49" s="98" t="n">
        <f aca="false">IF(OR($F49="Not covered",$F49="Child-only"),0,IF($F49="Full",1,IF($AD49="Y",$AE49,IF($F49="Ancillary",MAX(0.1,MIN(0.5,IF($AO$7="",0.5*$C$4,$AO$7)/$C$4)),MIN(0.5,IF($AO$7="",0.5*$C$4,$AO$7)/$C$4)))))</f>
        <v>1</v>
      </c>
      <c r="L49" s="98" t="n">
        <f aca="false">IF(OR($G49="Not covered",$G49="Child-only"),0,IF($G49="Full",1,IF($G49="Ancillary",MAX(0.1,MIN(0.5,IF($AS49&lt;&gt;"",$AS49,IF($AP$7="",0.5*$C$4,$AP$7))/$C$4)),MIN(0.5,IF($AS49&lt;&gt;"",$AS49,IF($AP$7="",0.5*$C$4,$AP$7))/$C$4))))</f>
        <v>1</v>
      </c>
      <c r="M49" s="98" t="n">
        <f aca="false">IF(OR($H49="Not covered",$H49="Child-only"),0,IF($H49="Full",1,IF($H49="Ancillary",MAX(0.1,MIN(0.5,IF($AM49&lt;&gt;"",$AM49,IF($AQ$7="",0.5*$C$4,$AQ$7))/$C$4)),MIN(0.5,IF($AM49&lt;&gt;"",$AM49,IF($AQ$7="",0.5*$C$4,$AQ$7))/$C$4))))</f>
        <v>1</v>
      </c>
      <c r="N49" s="98" t="n">
        <f aca="false">IF(OR($I49="Not covered",$I49="Child-only"),0,IF($I49="Full",1,IF($I49="Ancillary",MAX(0.1,MIN(0.5,IF($AR$7="",0.5*$C$4,$AR$7)/$C$4)),MIN(0.5,IF($AR$7="",0.5*$C$4,$AR$7)/$C$4))))</f>
        <v>1</v>
      </c>
      <c r="P49" s="1" t="str">
        <f aca="false">IF(O49="","",1-EXP(-O49/100000))</f>
        <v/>
      </c>
      <c r="R49" s="1" t="s">
        <v>822</v>
      </c>
      <c r="S49" s="1" t="str">
        <f aca="false">IF($P49="","",$P49*J49*$C$4*$C$5)</f>
        <v/>
      </c>
      <c r="T49" s="1" t="str">
        <f aca="false">IF($P49="","",$P49*K49*$C$4*$C$5)</f>
        <v/>
      </c>
      <c r="U49" s="1" t="str">
        <f aca="false">IF($P49="","",$P49*L49*$C$4*$C$5)</f>
        <v/>
      </c>
      <c r="V49" s="1" t="str">
        <f aca="false">IF($P49="","",$P49*M49*$C$4*$C$5)</f>
        <v/>
      </c>
      <c r="W49" s="1" t="str">
        <f aca="false">IF($P49="","",$P49*N49*$C$4*$C$5)</f>
        <v/>
      </c>
      <c r="X49" s="1" t="str">
        <f aca="false">IF(S49="","",S49/$E$7)</f>
        <v/>
      </c>
      <c r="Y49" s="1" t="str">
        <f aca="false">IF(T49="","",T49/$F$7)</f>
        <v/>
      </c>
      <c r="Z49" s="1" t="str">
        <f aca="false">IF(U49="","",U49/$G$7)</f>
        <v/>
      </c>
      <c r="AA49" s="1" t="str">
        <f aca="false">IF(V49="","",V49/$H$7)</f>
        <v/>
      </c>
      <c r="AB49" s="1" t="str">
        <f aca="false">IF(W49="","",W49/$I$7)</f>
        <v/>
      </c>
      <c r="AC49" s="1" t="str">
        <f aca="false">IF(COUNTIF(X49:AB49,"&gt;="&amp;$C$6)&gt;0,"PROMOTE","")</f>
        <v/>
      </c>
      <c r="AD49" s="1" t="str">
        <f aca="false">IF(COUNTIF(Sources_06!$B$33:$B$73,A49)&gt;0,"Y","")</f>
        <v/>
      </c>
      <c r="AE49" s="1" t="str">
        <f aca="false">IF(AD49="Y",MIN(0.5,Sources_06!$D$11/$C$4),"")</f>
        <v/>
      </c>
      <c r="AK49" s="1" t="n">
        <v>54</v>
      </c>
      <c r="AL49" s="1" t="n">
        <v>64218</v>
      </c>
    </row>
    <row r="50" customFormat="false" ht="15" hidden="false" customHeight="true" outlineLevel="0" collapsed="false">
      <c r="A50" s="1" t="n">
        <v>43</v>
      </c>
      <c r="B50" s="1" t="str">
        <f aca="false">Wording_Ranks!B44</f>
        <v>Type 1 Diabetes Mellitus</v>
      </c>
      <c r="C50" s="1" t="str">
        <f aca="false">Wording_Ranks!C44</f>
        <v>Endocrine</v>
      </c>
      <c r="D50" s="1" t="str">
        <f aca="false">Wording_Ranks!D44</f>
        <v>Medium</v>
      </c>
      <c r="E50" s="1" t="str">
        <f aca="false">Wording_Ranks!F44</f>
        <v>Not covered</v>
      </c>
      <c r="F50" s="1" t="str">
        <f aca="false">Wording_Ranks!H44</f>
        <v>Not covered</v>
      </c>
      <c r="G50" s="1" t="str">
        <f aca="false">Wording_Ranks!J44</f>
        <v>Partial</v>
      </c>
      <c r="H50" s="1" t="str">
        <f aca="false">Wording_Ranks!M44</f>
        <v>Partial</v>
      </c>
      <c r="I50" s="1" t="str">
        <f aca="false">Wording_Ranks!O44</f>
        <v>Partial</v>
      </c>
      <c r="J50" s="98" t="n">
        <f aca="false">IF(OR($E50="Not covered",$E50="Child-only"),0,IF($E50="Full",1,IF($E50="Ancillary",MAX(0.1,MIN(0.5,IF($AN$7="",0.5*$C$4,$AN$7)/$C$4)),MIN(0.5,IF($AN$7="",0.5*$C$4,$AN$7)/$C$4))))</f>
        <v>0</v>
      </c>
      <c r="K50" s="98" t="n">
        <f aca="false">IF(OR($F50="Not covered",$F50="Child-only"),0,IF($F50="Full",1,IF($AD50="Y",$AE50,IF($F50="Ancillary",MAX(0.1,MIN(0.5,IF($AO$7="",0.5*$C$4,$AO$7)/$C$4)),MIN(0.5,IF($AO$7="",0.5*$C$4,$AO$7)/$C$4)))))</f>
        <v>0</v>
      </c>
      <c r="L50" s="98" t="n">
        <f aca="false">IF(OR($G50="Not covered",$G50="Child-only"),0,IF($G50="Full",1,IF($G50="Ancillary",MAX(0.1,MIN(0.5,IF($AS50&lt;&gt;"",$AS50,IF($AP$7="",0.5*$C$4,$AP$7))/$C$4)),MIN(0.5,IF($AS50&lt;&gt;"",$AS50,IF($AP$7="",0.5*$C$4,$AP$7))/$C$4))))</f>
        <v>0.093167701863354</v>
      </c>
      <c r="M50" s="98" t="n">
        <f aca="false">IF(OR($H50="Not covered",$H50="Child-only"),0,IF($H50="Full",1,IF($H50="Ancillary",MAX(0.1,MIN(0.5,IF($AM50&lt;&gt;"",$AM50,IF($AQ$7="",0.5*$C$4,$AQ$7))/$C$4)),MIN(0.5,IF($AM50&lt;&gt;"",$AM50,IF($AQ$7="",0.5*$C$4,$AQ$7))/$C$4))))</f>
        <v>0.093167701863354</v>
      </c>
      <c r="N50" s="98" t="n">
        <f aca="false">IF(OR($I50="Not covered",$I50="Child-only"),0,IF($I50="Full",1,IF($I50="Ancillary",MAX(0.1,MIN(0.5,IF($AR$7="",0.5*$C$4,$AR$7)/$C$4)),MIN(0.5,IF($AR$7="",0.5*$C$4,$AR$7)/$C$4))))</f>
        <v>0.093167701863354</v>
      </c>
      <c r="P50" s="1" t="str">
        <f aca="false">IF(O50="","",1-EXP(-O50/100000))</f>
        <v/>
      </c>
      <c r="R50" s="1" t="s">
        <v>822</v>
      </c>
      <c r="S50" s="1" t="str">
        <f aca="false">IF($P50="","",$P50*J50*$C$4*$C$5)</f>
        <v/>
      </c>
      <c r="T50" s="1" t="str">
        <f aca="false">IF($P50="","",$P50*K50*$C$4*$C$5)</f>
        <v/>
      </c>
      <c r="U50" s="1" t="str">
        <f aca="false">IF($P50="","",$P50*L50*$C$4*$C$5)</f>
        <v/>
      </c>
      <c r="V50" s="1" t="str">
        <f aca="false">IF($P50="","",$P50*M50*$C$4*$C$5)</f>
        <v/>
      </c>
      <c r="W50" s="1" t="str">
        <f aca="false">IF($P50="","",$P50*N50*$C$4*$C$5)</f>
        <v/>
      </c>
      <c r="X50" s="1" t="str">
        <f aca="false">IF(S50="","",S50/$E$7)</f>
        <v/>
      </c>
      <c r="Y50" s="1" t="str">
        <f aca="false">IF(T50="","",T50/$F$7)</f>
        <v/>
      </c>
      <c r="Z50" s="1" t="str">
        <f aca="false">IF(U50="","",U50/$G$7)</f>
        <v/>
      </c>
      <c r="AA50" s="1" t="str">
        <f aca="false">IF(V50="","",V50/$H$7)</f>
        <v/>
      </c>
      <c r="AB50" s="1" t="str">
        <f aca="false">IF(W50="","",W50/$I$7)</f>
        <v/>
      </c>
      <c r="AC50" s="1" t="str">
        <f aca="false">IF(COUNTIF(X50:AB50,"&gt;="&amp;$C$6)&gt;0,"PROMOTE","")</f>
        <v/>
      </c>
      <c r="AD50" s="1" t="str">
        <f aca="false">IF(COUNTIF(Sources_06!$B$33:$B$73,A50)&gt;0,"Y","")</f>
        <v/>
      </c>
      <c r="AE50" s="1" t="str">
        <f aca="false">IF(AD50="Y",MIN(0.5,Sources_06!$D$11/$C$4),"")</f>
        <v/>
      </c>
      <c r="AK50" s="1" t="n">
        <v>55</v>
      </c>
      <c r="AL50" s="1" t="n">
        <v>62916</v>
      </c>
    </row>
    <row r="51" customFormat="false" ht="15" hidden="false" customHeight="true" outlineLevel="0" collapsed="false">
      <c r="A51" s="1" t="n">
        <v>44</v>
      </c>
      <c r="B51" s="1" t="str">
        <f aca="false">Wording_Ranks!B45</f>
        <v>Loss of Independent Existence – Permanent and Irreversible</v>
      </c>
      <c r="C51" s="1" t="str">
        <f aca="false">Wording_Ranks!C45</f>
        <v>Functional / ADL</v>
      </c>
      <c r="D51" s="1" t="str">
        <f aca="false">Wording_Ranks!D45</f>
        <v>Low</v>
      </c>
      <c r="E51" s="1" t="str">
        <f aca="false">Wording_Ranks!F45</f>
        <v>Full</v>
      </c>
      <c r="F51" s="1" t="str">
        <f aca="false">Wording_Ranks!H45</f>
        <v>Full</v>
      </c>
      <c r="G51" s="1" t="str">
        <f aca="false">Wording_Ranks!J45</f>
        <v>Not covered</v>
      </c>
      <c r="H51" s="1" t="str">
        <f aca="false">Wording_Ranks!M45</f>
        <v>Full</v>
      </c>
      <c r="I51" s="1" t="str">
        <f aca="false">Wording_Ranks!O45</f>
        <v>Full</v>
      </c>
      <c r="J51" s="98" t="n">
        <f aca="false">IF(OR($E51="Not covered",$E51="Child-only"),0,IF($E51="Full",1,IF($E51="Ancillary",MAX(0.1,MIN(0.5,IF($AN$7="",0.5*$C$4,$AN$7)/$C$4)),MIN(0.5,IF($AN$7="",0.5*$C$4,$AN$7)/$C$4))))</f>
        <v>1</v>
      </c>
      <c r="K51" s="98" t="n">
        <f aca="false">IF(OR($F51="Not covered",$F51="Child-only"),0,IF($F51="Full",1,IF($AD51="Y",$AE51,IF($F51="Ancillary",MAX(0.1,MIN(0.5,IF($AO$7="",0.5*$C$4,$AO$7)/$C$4)),MIN(0.5,IF($AO$7="",0.5*$C$4,$AO$7)/$C$4)))))</f>
        <v>1</v>
      </c>
      <c r="L51" s="98" t="n">
        <f aca="false">IF(OR($G51="Not covered",$G51="Child-only"),0,IF($G51="Full",1,IF($G51="Ancillary",MAX(0.1,MIN(0.5,IF($AS51&lt;&gt;"",$AS51,IF($AP$7="",0.5*$C$4,$AP$7))/$C$4)),MIN(0.5,IF($AS51&lt;&gt;"",$AS51,IF($AP$7="",0.5*$C$4,$AP$7))/$C$4))))</f>
        <v>0</v>
      </c>
      <c r="M51" s="98" t="n">
        <f aca="false">IF(OR($H51="Not covered",$H51="Child-only"),0,IF($H51="Full",1,IF($H51="Ancillary",MAX(0.1,MIN(0.5,IF($AM51&lt;&gt;"",$AM51,IF($AQ$7="",0.5*$C$4,$AQ$7))/$C$4)),MIN(0.5,IF($AM51&lt;&gt;"",$AM51,IF($AQ$7="",0.5*$C$4,$AQ$7))/$C$4))))</f>
        <v>1</v>
      </c>
      <c r="N51" s="98" t="n">
        <f aca="false">IF(OR($I51="Not covered",$I51="Child-only"),0,IF($I51="Full",1,IF($I51="Ancillary",MAX(0.1,MIN(0.5,IF($AR$7="",0.5*$C$4,$AR$7)/$C$4)),MIN(0.5,IF($AR$7="",0.5*$C$4,$AR$7)/$C$4))))</f>
        <v>1</v>
      </c>
      <c r="P51" s="1" t="str">
        <f aca="false">IF(O51="","",1-EXP(-O51/100000))</f>
        <v/>
      </c>
      <c r="R51" s="1" t="s">
        <v>822</v>
      </c>
      <c r="S51" s="1" t="str">
        <f aca="false">IF($P51="","",$P51*J51*$C$4*$C$5)</f>
        <v/>
      </c>
      <c r="T51" s="1" t="str">
        <f aca="false">IF($P51="","",$P51*K51*$C$4*$C$5)</f>
        <v/>
      </c>
      <c r="U51" s="1" t="str">
        <f aca="false">IF($P51="","",$P51*L51*$C$4*$C$5)</f>
        <v/>
      </c>
      <c r="V51" s="1" t="str">
        <f aca="false">IF($P51="","",$P51*M51*$C$4*$C$5)</f>
        <v/>
      </c>
      <c r="W51" s="1" t="str">
        <f aca="false">IF($P51="","",$P51*N51*$C$4*$C$5)</f>
        <v/>
      </c>
      <c r="X51" s="1" t="str">
        <f aca="false">IF(S51="","",S51/$E$7)</f>
        <v/>
      </c>
      <c r="Y51" s="1" t="str">
        <f aca="false">IF(T51="","",T51/$F$7)</f>
        <v/>
      </c>
      <c r="Z51" s="1" t="str">
        <f aca="false">IF(U51="","",U51/$G$7)</f>
        <v/>
      </c>
      <c r="AA51" s="1" t="str">
        <f aca="false">IF(V51="","",V51/$H$7)</f>
        <v/>
      </c>
      <c r="AB51" s="1" t="str">
        <f aca="false">IF(W51="","",W51/$I$7)</f>
        <v/>
      </c>
      <c r="AC51" s="1" t="str">
        <f aca="false">IF(COUNTIF(X51:AB51,"&gt;="&amp;$C$6)&gt;0,"PROMOTE","")</f>
        <v/>
      </c>
      <c r="AD51" s="1" t="str">
        <f aca="false">IF(COUNTIF(Sources_06!$B$33:$B$73,A51)&gt;0,"Y","")</f>
        <v/>
      </c>
      <c r="AE51" s="1" t="str">
        <f aca="false">IF(AD51="Y",MIN(0.5,Sources_06!$D$11/$C$4),"")</f>
        <v/>
      </c>
      <c r="AK51" s="1" t="n">
        <v>56</v>
      </c>
      <c r="AL51" s="1" t="n">
        <v>61963</v>
      </c>
    </row>
    <row r="52" customFormat="false" ht="15" hidden="false" customHeight="true" outlineLevel="0" collapsed="false">
      <c r="A52" s="1" t="n">
        <v>45</v>
      </c>
      <c r="B52" s="1" t="str">
        <f aca="false">Wording_Ranks!B46</f>
        <v>Total and Permanent Disability (TPD)</v>
      </c>
      <c r="C52" s="1" t="str">
        <f aca="false">Wording_Ranks!C46</f>
        <v>Functional / ADL</v>
      </c>
      <c r="D52" s="1" t="str">
        <f aca="false">Wording_Ranks!D46</f>
        <v>Medium</v>
      </c>
      <c r="E52" s="1" t="str">
        <f aca="false">Wording_Ranks!F46</f>
        <v>Not covered</v>
      </c>
      <c r="F52" s="1" t="str">
        <f aca="false">Wording_Ranks!H46</f>
        <v>Not covered</v>
      </c>
      <c r="G52" s="1" t="str">
        <f aca="false">Wording_Ranks!J46</f>
        <v>Full</v>
      </c>
      <c r="H52" s="1" t="str">
        <f aca="false">Wording_Ranks!M46</f>
        <v>Not covered</v>
      </c>
      <c r="I52" s="1" t="str">
        <f aca="false">Wording_Ranks!O46</f>
        <v>Full</v>
      </c>
      <c r="J52" s="98" t="n">
        <f aca="false">IF(OR($E52="Not covered",$E52="Child-only"),0,IF($E52="Full",1,IF($E52="Ancillary",MAX(0.1,MIN(0.5,IF($AN$7="",0.5*$C$4,$AN$7)/$C$4)),MIN(0.5,IF($AN$7="",0.5*$C$4,$AN$7)/$C$4))))</f>
        <v>0</v>
      </c>
      <c r="K52" s="98" t="n">
        <f aca="false">IF(OR($F52="Not covered",$F52="Child-only"),0,IF($F52="Full",1,IF($AD52="Y",$AE52,IF($F52="Ancillary",MAX(0.1,MIN(0.5,IF($AO$7="",0.5*$C$4,$AO$7)/$C$4)),MIN(0.5,IF($AO$7="",0.5*$C$4,$AO$7)/$C$4)))))</f>
        <v>0</v>
      </c>
      <c r="L52" s="98" t="n">
        <f aca="false">IF(OR($G52="Not covered",$G52="Child-only"),0,IF($G52="Full",1,IF($G52="Ancillary",MAX(0.1,MIN(0.5,IF($AS52&lt;&gt;"",$AS52,IF($AP$7="",0.5*$C$4,$AP$7))/$C$4)),MIN(0.5,IF($AS52&lt;&gt;"",$AS52,IF($AP$7="",0.5*$C$4,$AP$7))/$C$4))))</f>
        <v>1</v>
      </c>
      <c r="M52" s="98" t="n">
        <f aca="false">IF(OR($H52="Not covered",$H52="Child-only"),0,IF($H52="Full",1,IF($H52="Ancillary",MAX(0.1,MIN(0.5,IF($AM52&lt;&gt;"",$AM52,IF($AQ$7="",0.5*$C$4,$AQ$7))/$C$4)),MIN(0.5,IF($AM52&lt;&gt;"",$AM52,IF($AQ$7="",0.5*$C$4,$AQ$7))/$C$4))))</f>
        <v>0</v>
      </c>
      <c r="N52" s="98" t="n">
        <f aca="false">IF(OR($I52="Not covered",$I52="Child-only"),0,IF($I52="Full",1,IF($I52="Ancillary",MAX(0.1,MIN(0.5,IF($AR$7="",0.5*$C$4,$AR$7)/$C$4)),MIN(0.5,IF($AR$7="",0.5*$C$4,$AR$7)/$C$4))))</f>
        <v>1</v>
      </c>
      <c r="P52" s="1" t="str">
        <f aca="false">IF(O52="","",1-EXP(-O52/100000))</f>
        <v/>
      </c>
      <c r="R52" s="1" t="s">
        <v>822</v>
      </c>
      <c r="S52" s="1" t="str">
        <f aca="false">IF($P52="","",$P52*J52*$C$4*$C$5)</f>
        <v/>
      </c>
      <c r="T52" s="1" t="str">
        <f aca="false">IF($P52="","",$P52*K52*$C$4*$C$5)</f>
        <v/>
      </c>
      <c r="U52" s="1" t="str">
        <f aca="false">IF($P52="","",$P52*L52*$C$4*$C$5)</f>
        <v/>
      </c>
      <c r="V52" s="1" t="str">
        <f aca="false">IF($P52="","",$P52*M52*$C$4*$C$5)</f>
        <v/>
      </c>
      <c r="W52" s="1" t="str">
        <f aca="false">IF($P52="","",$P52*N52*$C$4*$C$5)</f>
        <v/>
      </c>
      <c r="X52" s="1" t="str">
        <f aca="false">IF(S52="","",S52/$E$7)</f>
        <v/>
      </c>
      <c r="Y52" s="1" t="str">
        <f aca="false">IF(T52="","",T52/$F$7)</f>
        <v/>
      </c>
      <c r="Z52" s="1" t="str">
        <f aca="false">IF(U52="","",U52/$G$7)</f>
        <v/>
      </c>
      <c r="AA52" s="1" t="str">
        <f aca="false">IF(V52="","",V52/$H$7)</f>
        <v/>
      </c>
      <c r="AB52" s="1" t="str">
        <f aca="false">IF(W52="","",W52/$I$7)</f>
        <v/>
      </c>
      <c r="AC52" s="1" t="str">
        <f aca="false">IF(COUNTIF(X52:AB52,"&gt;="&amp;$C$6)&gt;0,"PROMOTE","")</f>
        <v/>
      </c>
      <c r="AD52" s="1" t="str">
        <f aca="false">IF(COUNTIF(Sources_06!$B$33:$B$73,A52)&gt;0,"Y","")</f>
        <v/>
      </c>
      <c r="AE52" s="1" t="str">
        <f aca="false">IF(AD52="Y",MIN(0.5,Sources_06!$D$11/$C$4),"")</f>
        <v/>
      </c>
      <c r="AK52" s="1" t="n">
        <v>57</v>
      </c>
      <c r="AL52" s="1" t="n">
        <v>62655</v>
      </c>
    </row>
    <row r="53" customFormat="false" ht="15" hidden="false" customHeight="true" outlineLevel="0" collapsed="false">
      <c r="A53" s="1" t="n">
        <v>46</v>
      </c>
      <c r="B53" s="1" t="str">
        <f aca="false">Wording_Ranks!B47</f>
        <v>Paralysis of One Limb – Total and Irreversible</v>
      </c>
      <c r="C53" s="1" t="str">
        <f aca="false">Wording_Ranks!C47</f>
        <v>Functional / Neurological</v>
      </c>
      <c r="D53" s="1" t="str">
        <f aca="false">Wording_Ranks!D47</f>
        <v>Rare</v>
      </c>
      <c r="E53" s="1" t="str">
        <f aca="false">Wording_Ranks!F47</f>
        <v>Not covered</v>
      </c>
      <c r="F53" s="1" t="str">
        <f aca="false">Wording_Ranks!H47</f>
        <v>Full</v>
      </c>
      <c r="G53" s="1" t="str">
        <f aca="false">Wording_Ranks!J47</f>
        <v>Full</v>
      </c>
      <c r="H53" s="1" t="str">
        <f aca="false">Wording_Ranks!M47</f>
        <v>Full</v>
      </c>
      <c r="I53" s="1" t="str">
        <f aca="false">Wording_Ranks!O47</f>
        <v>Not covered</v>
      </c>
      <c r="J53" s="98" t="n">
        <f aca="false">IF(OR($E53="Not covered",$E53="Child-only"),0,IF($E53="Full",1,IF($E53="Ancillary",MAX(0.1,MIN(0.5,IF($AN$7="",0.5*$C$4,$AN$7)/$C$4)),MIN(0.5,IF($AN$7="",0.5*$C$4,$AN$7)/$C$4))))</f>
        <v>0</v>
      </c>
      <c r="K53" s="98" t="n">
        <f aca="false">IF(OR($F53="Not covered",$F53="Child-only"),0,IF($F53="Full",1,IF($AD53="Y",$AE53,IF($F53="Ancillary",MAX(0.1,MIN(0.5,IF($AO$7="",0.5*$C$4,$AO$7)/$C$4)),MIN(0.5,IF($AO$7="",0.5*$C$4,$AO$7)/$C$4)))))</f>
        <v>1</v>
      </c>
      <c r="L53" s="98" t="n">
        <f aca="false">IF(OR($G53="Not covered",$G53="Child-only"),0,IF($G53="Full",1,IF($G53="Ancillary",MAX(0.1,MIN(0.5,IF($AS53&lt;&gt;"",$AS53,IF($AP$7="",0.5*$C$4,$AP$7))/$C$4)),MIN(0.5,IF($AS53&lt;&gt;"",$AS53,IF($AP$7="",0.5*$C$4,$AP$7))/$C$4))))</f>
        <v>1</v>
      </c>
      <c r="M53" s="98" t="n">
        <f aca="false">IF(OR($H53="Not covered",$H53="Child-only"),0,IF($H53="Full",1,IF($H53="Ancillary",MAX(0.1,MIN(0.5,IF($AM53&lt;&gt;"",$AM53,IF($AQ$7="",0.5*$C$4,$AQ$7))/$C$4)),MIN(0.5,IF($AM53&lt;&gt;"",$AM53,IF($AQ$7="",0.5*$C$4,$AQ$7))/$C$4))))</f>
        <v>1</v>
      </c>
      <c r="N53" s="98" t="n">
        <f aca="false">IF(OR($I53="Not covered",$I53="Child-only"),0,IF($I53="Full",1,IF($I53="Ancillary",MAX(0.1,MIN(0.5,IF($AR$7="",0.5*$C$4,$AR$7)/$C$4)),MIN(0.5,IF($AR$7="",0.5*$C$4,$AR$7)/$C$4))))</f>
        <v>0</v>
      </c>
      <c r="P53" s="1" t="str">
        <f aca="false">IF(O53="","",1-EXP(-O53/100000))</f>
        <v/>
      </c>
      <c r="R53" s="1" t="s">
        <v>822</v>
      </c>
      <c r="S53" s="1" t="str">
        <f aca="false">IF($P53="","",$P53*J53*$C$4*$C$5)</f>
        <v/>
      </c>
      <c r="T53" s="1" t="str">
        <f aca="false">IF($P53="","",$P53*K53*$C$4*$C$5)</f>
        <v/>
      </c>
      <c r="U53" s="1" t="str">
        <f aca="false">IF($P53="","",$P53*L53*$C$4*$C$5)</f>
        <v/>
      </c>
      <c r="V53" s="1" t="str">
        <f aca="false">IF($P53="","",$P53*M53*$C$4*$C$5)</f>
        <v/>
      </c>
      <c r="W53" s="1" t="str">
        <f aca="false">IF($P53="","",$P53*N53*$C$4*$C$5)</f>
        <v/>
      </c>
      <c r="X53" s="1" t="str">
        <f aca="false">IF(S53="","",S53/$E$7)</f>
        <v/>
      </c>
      <c r="Y53" s="1" t="str">
        <f aca="false">IF(T53="","",T53/$F$7)</f>
        <v/>
      </c>
      <c r="Z53" s="1" t="str">
        <f aca="false">IF(U53="","",U53/$G$7)</f>
        <v/>
      </c>
      <c r="AA53" s="1" t="str">
        <f aca="false">IF(V53="","",V53/$H$7)</f>
        <v/>
      </c>
      <c r="AB53" s="1" t="str">
        <f aca="false">IF(W53="","",W53/$I$7)</f>
        <v/>
      </c>
      <c r="AC53" s="1" t="str">
        <f aca="false">IF(COUNTIF(X53:AB53,"&gt;="&amp;$C$6)&gt;0,"PROMOTE","")</f>
        <v/>
      </c>
      <c r="AD53" s="1" t="str">
        <f aca="false">IF(COUNTIF(Sources_06!$B$33:$B$73,A53)&gt;0,"Y","")</f>
        <v/>
      </c>
      <c r="AE53" s="1" t="str">
        <f aca="false">IF(AD53="Y",MIN(0.5,Sources_06!$D$11/$C$4),"")</f>
        <v/>
      </c>
      <c r="AK53" s="1" t="n">
        <v>58</v>
      </c>
      <c r="AL53" s="1" t="n">
        <v>60435</v>
      </c>
    </row>
    <row r="54" customFormat="false" ht="15" hidden="false" customHeight="true" outlineLevel="0" collapsed="false">
      <c r="A54" s="1" t="n">
        <v>47</v>
      </c>
      <c r="B54" s="1" t="str">
        <f aca="false">Wording_Ranks!B48</f>
        <v>Paralysis – Total Loss of Limb Function</v>
      </c>
      <c r="C54" s="1" t="str">
        <f aca="false">Wording_Ranks!C48</f>
        <v>Functional / Neurological</v>
      </c>
      <c r="D54" s="1" t="str">
        <f aca="false">Wording_Ranks!D48</f>
        <v>Rare</v>
      </c>
      <c r="E54" s="1" t="str">
        <f aca="false">Wording_Ranks!F48</f>
        <v>Full</v>
      </c>
      <c r="F54" s="1" t="str">
        <f aca="false">Wording_Ranks!H48</f>
        <v>Not covered</v>
      </c>
      <c r="G54" s="1" t="str">
        <f aca="false">Wording_Ranks!J48</f>
        <v>Not covered</v>
      </c>
      <c r="H54" s="1" t="str">
        <f aca="false">Wording_Ranks!M48</f>
        <v>Not covered</v>
      </c>
      <c r="I54" s="1" t="str">
        <f aca="false">Wording_Ranks!O48</f>
        <v>Full</v>
      </c>
      <c r="J54" s="98" t="n">
        <f aca="false">IF(OR($E54="Not covered",$E54="Child-only"),0,IF($E54="Full",1,IF($E54="Ancillary",MAX(0.1,MIN(0.5,IF($AN$7="",0.5*$C$4,$AN$7)/$C$4)),MIN(0.5,IF($AN$7="",0.5*$C$4,$AN$7)/$C$4))))</f>
        <v>1</v>
      </c>
      <c r="K54" s="98" t="n">
        <f aca="false">IF(OR($F54="Not covered",$F54="Child-only"),0,IF($F54="Full",1,IF($AD54="Y",$AE54,IF($F54="Ancillary",MAX(0.1,MIN(0.5,IF($AO$7="",0.5*$C$4,$AO$7)/$C$4)),MIN(0.5,IF($AO$7="",0.5*$C$4,$AO$7)/$C$4)))))</f>
        <v>0</v>
      </c>
      <c r="L54" s="98" t="n">
        <f aca="false">IF(OR($G54="Not covered",$G54="Child-only"),0,IF($G54="Full",1,IF($G54="Ancillary",MAX(0.1,MIN(0.5,IF($AS54&lt;&gt;"",$AS54,IF($AP$7="",0.5*$C$4,$AP$7))/$C$4)),MIN(0.5,IF($AS54&lt;&gt;"",$AS54,IF($AP$7="",0.5*$C$4,$AP$7))/$C$4))))</f>
        <v>0</v>
      </c>
      <c r="M54" s="98" t="n">
        <f aca="false">IF(OR($H54="Not covered",$H54="Child-only"),0,IF($H54="Full",1,IF($H54="Ancillary",MAX(0.1,MIN(0.5,IF($AM54&lt;&gt;"",$AM54,IF($AQ$7="",0.5*$C$4,$AQ$7))/$C$4)),MIN(0.5,IF($AM54&lt;&gt;"",$AM54,IF($AQ$7="",0.5*$C$4,$AQ$7))/$C$4))))</f>
        <v>0</v>
      </c>
      <c r="N54" s="98" t="n">
        <f aca="false">IF(OR($I54="Not covered",$I54="Child-only"),0,IF($I54="Full",1,IF($I54="Ancillary",MAX(0.1,MIN(0.5,IF($AR$7="",0.5*$C$4,$AR$7)/$C$4)),MIN(0.5,IF($AR$7="",0.5*$C$4,$AR$7)/$C$4))))</f>
        <v>1</v>
      </c>
      <c r="P54" s="1" t="str">
        <f aca="false">IF(O54="","",1-EXP(-O54/100000))</f>
        <v/>
      </c>
      <c r="R54" s="1" t="s">
        <v>822</v>
      </c>
      <c r="S54" s="1" t="str">
        <f aca="false">IF($P54="","",$P54*J54*$C$4*$C$5)</f>
        <v/>
      </c>
      <c r="T54" s="1" t="str">
        <f aca="false">IF($P54="","",$P54*K54*$C$4*$C$5)</f>
        <v/>
      </c>
      <c r="U54" s="1" t="str">
        <f aca="false">IF($P54="","",$P54*L54*$C$4*$C$5)</f>
        <v/>
      </c>
      <c r="V54" s="1" t="str">
        <f aca="false">IF($P54="","",$P54*M54*$C$4*$C$5)</f>
        <v/>
      </c>
      <c r="W54" s="1" t="str">
        <f aca="false">IF($P54="","",$P54*N54*$C$4*$C$5)</f>
        <v/>
      </c>
      <c r="X54" s="1" t="str">
        <f aca="false">IF(S54="","",S54/$E$7)</f>
        <v/>
      </c>
      <c r="Y54" s="1" t="str">
        <f aca="false">IF(T54="","",T54/$F$7)</f>
        <v/>
      </c>
      <c r="Z54" s="1" t="str">
        <f aca="false">IF(U54="","",U54/$G$7)</f>
        <v/>
      </c>
      <c r="AA54" s="1" t="str">
        <f aca="false">IF(V54="","",V54/$H$7)</f>
        <v/>
      </c>
      <c r="AB54" s="1" t="str">
        <f aca="false">IF(W54="","",W54/$I$7)</f>
        <v/>
      </c>
      <c r="AC54" s="1" t="str">
        <f aca="false">IF(COUNTIF(X54:AB54,"&gt;="&amp;$C$6)&gt;0,"PROMOTE","")</f>
        <v/>
      </c>
      <c r="AD54" s="1" t="str">
        <f aca="false">IF(COUNTIF(Sources_06!$B$33:$B$73,A54)&gt;0,"Y","")</f>
        <v/>
      </c>
      <c r="AE54" s="1" t="str">
        <f aca="false">IF(AD54="Y",MIN(0.5,Sources_06!$D$11/$C$4),"")</f>
        <v/>
      </c>
      <c r="AK54" s="1" t="n">
        <v>59</v>
      </c>
      <c r="AL54" s="1" t="n">
        <v>59196</v>
      </c>
    </row>
    <row r="55" customFormat="false" ht="15" hidden="false" customHeight="true" outlineLevel="0" collapsed="false">
      <c r="A55" s="1" t="n">
        <v>48</v>
      </c>
      <c r="B55" s="1" t="str">
        <f aca="false">Wording_Ranks!B49</f>
        <v>Loss of Hand or Foot – Permanent Physical Severance</v>
      </c>
      <c r="C55" s="1" t="str">
        <f aca="false">Wording_Ranks!C49</f>
        <v>Functional / Trauma</v>
      </c>
      <c r="D55" s="1" t="str">
        <f aca="false">Wording_Ranks!D49</f>
        <v>Rare</v>
      </c>
      <c r="E55" s="1" t="str">
        <f aca="false">Wording_Ranks!F49</f>
        <v>Full</v>
      </c>
      <c r="F55" s="1" t="str">
        <f aca="false">Wording_Ranks!H49</f>
        <v>Not covered</v>
      </c>
      <c r="G55" s="1" t="str">
        <f aca="false">Wording_Ranks!J49</f>
        <v>Not covered</v>
      </c>
      <c r="H55" s="1" t="str">
        <f aca="false">Wording_Ranks!M49</f>
        <v>Not covered</v>
      </c>
      <c r="I55" s="1" t="str">
        <f aca="false">Wording_Ranks!O49</f>
        <v>Not covered</v>
      </c>
      <c r="J55" s="98" t="n">
        <f aca="false">IF(OR($E55="Not covered",$E55="Child-only"),0,IF($E55="Full",1,IF($E55="Ancillary",MAX(0.1,MIN(0.5,IF($AN$7="",0.5*$C$4,$AN$7)/$C$4)),MIN(0.5,IF($AN$7="",0.5*$C$4,$AN$7)/$C$4))))</f>
        <v>1</v>
      </c>
      <c r="K55" s="98" t="n">
        <f aca="false">IF(OR($F55="Not covered",$F55="Child-only"),0,IF($F55="Full",1,IF($AD55="Y",$AE55,IF($F55="Ancillary",MAX(0.1,MIN(0.5,IF($AO$7="",0.5*$C$4,$AO$7)/$C$4)),MIN(0.5,IF($AO$7="",0.5*$C$4,$AO$7)/$C$4)))))</f>
        <v>0</v>
      </c>
      <c r="L55" s="98" t="n">
        <f aca="false">IF(OR($G55="Not covered",$G55="Child-only"),0,IF($G55="Full",1,IF($G55="Ancillary",MAX(0.1,MIN(0.5,IF($AS55&lt;&gt;"",$AS55,IF($AP$7="",0.5*$C$4,$AP$7))/$C$4)),MIN(0.5,IF($AS55&lt;&gt;"",$AS55,IF($AP$7="",0.5*$C$4,$AP$7))/$C$4))))</f>
        <v>0</v>
      </c>
      <c r="M55" s="98" t="n">
        <f aca="false">IF(OR($H55="Not covered",$H55="Child-only"),0,IF($H55="Full",1,IF($H55="Ancillary",MAX(0.1,MIN(0.5,IF($AM55&lt;&gt;"",$AM55,IF($AQ$7="",0.5*$C$4,$AQ$7))/$C$4)),MIN(0.5,IF($AM55&lt;&gt;"",$AM55,IF($AQ$7="",0.5*$C$4,$AQ$7))/$C$4))))</f>
        <v>0</v>
      </c>
      <c r="N55" s="98" t="n">
        <f aca="false">IF(OR($I55="Not covered",$I55="Child-only"),0,IF($I55="Full",1,IF($I55="Ancillary",MAX(0.1,MIN(0.5,IF($AR$7="",0.5*$C$4,$AR$7)/$C$4)),MIN(0.5,IF($AR$7="",0.5*$C$4,$AR$7)/$C$4))))</f>
        <v>0</v>
      </c>
      <c r="P55" s="1" t="str">
        <f aca="false">IF(O55="","",1-EXP(-O55/100000))</f>
        <v/>
      </c>
      <c r="R55" s="1" t="s">
        <v>822</v>
      </c>
      <c r="S55" s="1" t="str">
        <f aca="false">IF($P55="","",$P55*J55*$C$4*$C$5)</f>
        <v/>
      </c>
      <c r="T55" s="1" t="str">
        <f aca="false">IF($P55="","",$P55*K55*$C$4*$C$5)</f>
        <v/>
      </c>
      <c r="U55" s="1" t="str">
        <f aca="false">IF($P55="","",$P55*L55*$C$4*$C$5)</f>
        <v/>
      </c>
      <c r="V55" s="1" t="str">
        <f aca="false">IF($P55="","",$P55*M55*$C$4*$C$5)</f>
        <v/>
      </c>
      <c r="W55" s="1" t="str">
        <f aca="false">IF($P55="","",$P55*N55*$C$4*$C$5)</f>
        <v/>
      </c>
      <c r="X55" s="1" t="str">
        <f aca="false">IF(S55="","",S55/$E$7)</f>
        <v/>
      </c>
      <c r="Y55" s="1" t="str">
        <f aca="false">IF(T55="","",T55/$F$7)</f>
        <v/>
      </c>
      <c r="Z55" s="1" t="str">
        <f aca="false">IF(U55="","",U55/$G$7)</f>
        <v/>
      </c>
      <c r="AA55" s="1" t="str">
        <f aca="false">IF(V55="","",V55/$H$7)</f>
        <v/>
      </c>
      <c r="AB55" s="1" t="str">
        <f aca="false">IF(W55="","",W55/$I$7)</f>
        <v/>
      </c>
      <c r="AC55" s="1" t="str">
        <f aca="false">IF(COUNTIF(X55:AB55,"&gt;="&amp;$C$6)&gt;0,"PROMOTE","")</f>
        <v/>
      </c>
      <c r="AD55" s="1" t="str">
        <f aca="false">IF(COUNTIF(Sources_06!$B$33:$B$73,A55)&gt;0,"Y","")</f>
        <v/>
      </c>
      <c r="AE55" s="1" t="str">
        <f aca="false">IF(AD55="Y",MIN(0.5,Sources_06!$D$11/$C$4),"")</f>
        <v/>
      </c>
      <c r="AK55" s="1" t="n">
        <v>60</v>
      </c>
      <c r="AL55" s="1" t="n">
        <v>57518</v>
      </c>
    </row>
    <row r="56" customFormat="false" ht="15" hidden="false" customHeight="true" outlineLevel="0" collapsed="false">
      <c r="A56" s="1" t="n">
        <v>49</v>
      </c>
      <c r="B56" s="1" t="str">
        <f aca="false">Wording_Ranks!B50</f>
        <v>Loss of One Limb – Permanent Physical Severance</v>
      </c>
      <c r="C56" s="1" t="str">
        <f aca="false">Wording_Ranks!C50</f>
        <v>Functional / Trauma</v>
      </c>
      <c r="D56" s="1" t="str">
        <f aca="false">Wording_Ranks!D50</f>
        <v>Rare</v>
      </c>
      <c r="E56" s="1" t="str">
        <f aca="false">Wording_Ranks!F50</f>
        <v>Not covered</v>
      </c>
      <c r="F56" s="1" t="str">
        <f aca="false">Wording_Ranks!H50</f>
        <v>Full</v>
      </c>
      <c r="G56" s="1" t="str">
        <f aca="false">Wording_Ranks!J50</f>
        <v>Full</v>
      </c>
      <c r="H56" s="1" t="str">
        <f aca="false">Wording_Ranks!M50</f>
        <v>Full</v>
      </c>
      <c r="I56" s="1" t="str">
        <f aca="false">Wording_Ranks!O50</f>
        <v>Full</v>
      </c>
      <c r="J56" s="98" t="n">
        <f aca="false">IF(OR($E56="Not covered",$E56="Child-only"),0,IF($E56="Full",1,IF($E56="Ancillary",MAX(0.1,MIN(0.5,IF($AN$7="",0.5*$C$4,$AN$7)/$C$4)),MIN(0.5,IF($AN$7="",0.5*$C$4,$AN$7)/$C$4))))</f>
        <v>0</v>
      </c>
      <c r="K56" s="98" t="n">
        <f aca="false">IF(OR($F56="Not covered",$F56="Child-only"),0,IF($F56="Full",1,IF($AD56="Y",$AE56,IF($F56="Ancillary",MAX(0.1,MIN(0.5,IF($AO$7="",0.5*$C$4,$AO$7)/$C$4)),MIN(0.5,IF($AO$7="",0.5*$C$4,$AO$7)/$C$4)))))</f>
        <v>1</v>
      </c>
      <c r="L56" s="98" t="n">
        <f aca="false">IF(OR($G56="Not covered",$G56="Child-only"),0,IF($G56="Full",1,IF($G56="Ancillary",MAX(0.1,MIN(0.5,IF($AS56&lt;&gt;"",$AS56,IF($AP$7="",0.5*$C$4,$AP$7))/$C$4)),MIN(0.5,IF($AS56&lt;&gt;"",$AS56,IF($AP$7="",0.5*$C$4,$AP$7))/$C$4))))</f>
        <v>1</v>
      </c>
      <c r="M56" s="98" t="n">
        <f aca="false">IF(OR($H56="Not covered",$H56="Child-only"),0,IF($H56="Full",1,IF($H56="Ancillary",MAX(0.1,MIN(0.5,IF($AM56&lt;&gt;"",$AM56,IF($AQ$7="",0.5*$C$4,$AQ$7))/$C$4)),MIN(0.5,IF($AM56&lt;&gt;"",$AM56,IF($AQ$7="",0.5*$C$4,$AQ$7))/$C$4))))</f>
        <v>1</v>
      </c>
      <c r="N56" s="98" t="n">
        <f aca="false">IF(OR($I56="Not covered",$I56="Child-only"),0,IF($I56="Full",1,IF($I56="Ancillary",MAX(0.1,MIN(0.5,IF($AR$7="",0.5*$C$4,$AR$7)/$C$4)),MIN(0.5,IF($AR$7="",0.5*$C$4,$AR$7)/$C$4))))</f>
        <v>1</v>
      </c>
      <c r="P56" s="1" t="str">
        <f aca="false">IF(O56="","",1-EXP(-O56/100000))</f>
        <v/>
      </c>
      <c r="R56" s="1" t="s">
        <v>822</v>
      </c>
      <c r="S56" s="1" t="str">
        <f aca="false">IF($P56="","",$P56*J56*$C$4*$C$5)</f>
        <v/>
      </c>
      <c r="T56" s="1" t="str">
        <f aca="false">IF($P56="","",$P56*K56*$C$4*$C$5)</f>
        <v/>
      </c>
      <c r="U56" s="1" t="str">
        <f aca="false">IF($P56="","",$P56*L56*$C$4*$C$5)</f>
        <v/>
      </c>
      <c r="V56" s="1" t="str">
        <f aca="false">IF($P56="","",$P56*M56*$C$4*$C$5)</f>
        <v/>
      </c>
      <c r="W56" s="1" t="str">
        <f aca="false">IF($P56="","",$P56*N56*$C$4*$C$5)</f>
        <v/>
      </c>
      <c r="X56" s="1" t="str">
        <f aca="false">IF(S56="","",S56/$E$7)</f>
        <v/>
      </c>
      <c r="Y56" s="1" t="str">
        <f aca="false">IF(T56="","",T56/$F$7)</f>
        <v/>
      </c>
      <c r="Z56" s="1" t="str">
        <f aca="false">IF(U56="","",U56/$G$7)</f>
        <v/>
      </c>
      <c r="AA56" s="1" t="str">
        <f aca="false">IF(V56="","",V56/$H$7)</f>
        <v/>
      </c>
      <c r="AB56" s="1" t="str">
        <f aca="false">IF(W56="","",W56/$I$7)</f>
        <v/>
      </c>
      <c r="AC56" s="1" t="str">
        <f aca="false">IF(COUNTIF(X56:AB56,"&gt;="&amp;$C$6)&gt;0,"PROMOTE","")</f>
        <v/>
      </c>
      <c r="AD56" s="1" t="str">
        <f aca="false">IF(COUNTIF(Sources_06!$B$33:$B$73,A56)&gt;0,"Y","")</f>
        <v/>
      </c>
      <c r="AE56" s="1" t="str">
        <f aca="false">IF(AD56="Y",MIN(0.5,Sources_06!$D$11/$C$4),"")</f>
        <v/>
      </c>
      <c r="AK56" s="1" t="n">
        <v>61</v>
      </c>
      <c r="AL56" s="1" t="n">
        <v>56705</v>
      </c>
    </row>
    <row r="57" customFormat="false" ht="15" hidden="false" customHeight="true" outlineLevel="0" collapsed="false">
      <c r="A57" s="1" t="n">
        <v>50</v>
      </c>
      <c r="B57" s="1" t="str">
        <f aca="false">Wording_Ranks!B51</f>
        <v>Chronic Pancreatitis</v>
      </c>
      <c r="C57" s="1" t="str">
        <f aca="false">Wording_Ranks!C51</f>
        <v>Gastrointestinal</v>
      </c>
      <c r="D57" s="1" t="str">
        <f aca="false">Wording_Ranks!D51</f>
        <v>Low</v>
      </c>
      <c r="E57" s="1" t="str">
        <f aca="false">Wording_Ranks!F51</f>
        <v>Full</v>
      </c>
      <c r="F57" s="1" t="str">
        <f aca="false">Wording_Ranks!H51</f>
        <v>Full</v>
      </c>
      <c r="G57" s="1" t="str">
        <f aca="false">Wording_Ranks!J51</f>
        <v>Full</v>
      </c>
      <c r="H57" s="1" t="str">
        <f aca="false">Wording_Ranks!M51</f>
        <v>Full</v>
      </c>
      <c r="I57" s="1" t="str">
        <f aca="false">Wording_Ranks!O51</f>
        <v>Not covered</v>
      </c>
      <c r="J57" s="98" t="n">
        <f aca="false">IF(OR($E57="Not covered",$E57="Child-only"),0,IF($E57="Full",1,IF($E57="Ancillary",MAX(0.1,MIN(0.5,IF($AN$7="",0.5*$C$4,$AN$7)/$C$4)),MIN(0.5,IF($AN$7="",0.5*$C$4,$AN$7)/$C$4))))</f>
        <v>1</v>
      </c>
      <c r="K57" s="98" t="n">
        <f aca="false">IF(OR($F57="Not covered",$F57="Child-only"),0,IF($F57="Full",1,IF($AD57="Y",$AE57,IF($F57="Ancillary",MAX(0.1,MIN(0.5,IF($AO$7="",0.5*$C$4,$AO$7)/$C$4)),MIN(0.5,IF($AO$7="",0.5*$C$4,$AO$7)/$C$4)))))</f>
        <v>1</v>
      </c>
      <c r="L57" s="98" t="n">
        <f aca="false">IF(OR($G57="Not covered",$G57="Child-only"),0,IF($G57="Full",1,IF($G57="Ancillary",MAX(0.1,MIN(0.5,IF($AS57&lt;&gt;"",$AS57,IF($AP$7="",0.5*$C$4,$AP$7))/$C$4)),MIN(0.5,IF($AS57&lt;&gt;"",$AS57,IF($AP$7="",0.5*$C$4,$AP$7))/$C$4))))</f>
        <v>1</v>
      </c>
      <c r="M57" s="98" t="n">
        <f aca="false">IF(OR($H57="Not covered",$H57="Child-only"),0,IF($H57="Full",1,IF($H57="Ancillary",MAX(0.1,MIN(0.5,IF($AM57&lt;&gt;"",$AM57,IF($AQ$7="",0.5*$C$4,$AQ$7))/$C$4)),MIN(0.5,IF($AM57&lt;&gt;"",$AM57,IF($AQ$7="",0.5*$C$4,$AQ$7))/$C$4))))</f>
        <v>1</v>
      </c>
      <c r="N57" s="98" t="n">
        <f aca="false">IF(OR($I57="Not covered",$I57="Child-only"),0,IF($I57="Full",1,IF($I57="Ancillary",MAX(0.1,MIN(0.5,IF($AR$7="",0.5*$C$4,$AR$7)/$C$4)),MIN(0.5,IF($AR$7="",0.5*$C$4,$AR$7)/$C$4))))</f>
        <v>0</v>
      </c>
      <c r="P57" s="1" t="str">
        <f aca="false">IF(O57="","",1-EXP(-O57/100000))</f>
        <v/>
      </c>
      <c r="R57" s="1" t="s">
        <v>822</v>
      </c>
      <c r="S57" s="1" t="str">
        <f aca="false">IF($P57="","",$P57*J57*$C$4*$C$5)</f>
        <v/>
      </c>
      <c r="T57" s="1" t="str">
        <f aca="false">IF($P57="","",$P57*K57*$C$4*$C$5)</f>
        <v/>
      </c>
      <c r="U57" s="1" t="str">
        <f aca="false">IF($P57="","",$P57*L57*$C$4*$C$5)</f>
        <v/>
      </c>
      <c r="V57" s="1" t="str">
        <f aca="false">IF($P57="","",$P57*M57*$C$4*$C$5)</f>
        <v/>
      </c>
      <c r="W57" s="1" t="str">
        <f aca="false">IF($P57="","",$P57*N57*$C$4*$C$5)</f>
        <v/>
      </c>
      <c r="X57" s="1" t="str">
        <f aca="false">IF(S57="","",S57/$E$7)</f>
        <v/>
      </c>
      <c r="Y57" s="1" t="str">
        <f aca="false">IF(T57="","",T57/$F$7)</f>
        <v/>
      </c>
      <c r="Z57" s="1" t="str">
        <f aca="false">IF(U57="","",U57/$G$7)</f>
        <v/>
      </c>
      <c r="AA57" s="1" t="str">
        <f aca="false">IF(V57="","",V57/$H$7)</f>
        <v/>
      </c>
      <c r="AB57" s="1" t="str">
        <f aca="false">IF(W57="","",W57/$I$7)</f>
        <v/>
      </c>
      <c r="AC57" s="1" t="str">
        <f aca="false">IF(COUNTIF(X57:AB57,"&gt;="&amp;$C$6)&gt;0,"PROMOTE","")</f>
        <v/>
      </c>
      <c r="AD57" s="1" t="str">
        <f aca="false">IF(COUNTIF(Sources_06!$B$33:$B$73,A57)&gt;0,"Y","")</f>
        <v/>
      </c>
      <c r="AE57" s="1" t="str">
        <f aca="false">IF(AD57="Y",MIN(0.5,Sources_06!$D$11/$C$4),"")</f>
        <v/>
      </c>
      <c r="AK57" s="1" t="n">
        <v>62</v>
      </c>
      <c r="AL57" s="1" t="n">
        <v>55015</v>
      </c>
    </row>
    <row r="58" customFormat="false" ht="15" hidden="false" customHeight="true" outlineLevel="0" collapsed="false">
      <c r="A58" s="1" t="n">
        <v>51</v>
      </c>
      <c r="B58" s="1" t="str">
        <f aca="false">Wording_Ranks!B52</f>
        <v>Crohn's Disease – Severe / with Surgical Resection</v>
      </c>
      <c r="C58" s="1" t="str">
        <f aca="false">Wording_Ranks!C52</f>
        <v>Gastrointestinal</v>
      </c>
      <c r="D58" s="1" t="str">
        <f aca="false">Wording_Ranks!D52</f>
        <v>Low</v>
      </c>
      <c r="E58" s="1" t="str">
        <f aca="false">Wording_Ranks!F52</f>
        <v>Full</v>
      </c>
      <c r="F58" s="1" t="str">
        <f aca="false">Wording_Ranks!H52</f>
        <v>Full</v>
      </c>
      <c r="G58" s="1" t="str">
        <f aca="false">Wording_Ranks!J52</f>
        <v>Full</v>
      </c>
      <c r="H58" s="1" t="str">
        <f aca="false">Wording_Ranks!M52</f>
        <v>Full</v>
      </c>
      <c r="I58" s="1" t="str">
        <f aca="false">Wording_Ranks!O52</f>
        <v>Full</v>
      </c>
      <c r="J58" s="98" t="n">
        <f aca="false">IF(OR($E58="Not covered",$E58="Child-only"),0,IF($E58="Full",1,IF($E58="Ancillary",MAX(0.1,MIN(0.5,IF($AN$7="",0.5*$C$4,$AN$7)/$C$4)),MIN(0.5,IF($AN$7="",0.5*$C$4,$AN$7)/$C$4))))</f>
        <v>1</v>
      </c>
      <c r="K58" s="98" t="n">
        <f aca="false">IF(OR($F58="Not covered",$F58="Child-only"),0,IF($F58="Full",1,IF($AD58="Y",$AE58,IF($F58="Ancillary",MAX(0.1,MIN(0.5,IF($AO$7="",0.5*$C$4,$AO$7)/$C$4)),MIN(0.5,IF($AO$7="",0.5*$C$4,$AO$7)/$C$4)))))</f>
        <v>1</v>
      </c>
      <c r="L58" s="98" t="n">
        <f aca="false">IF(OR($G58="Not covered",$G58="Child-only"),0,IF($G58="Full",1,IF($G58="Ancillary",MAX(0.1,MIN(0.5,IF($AS58&lt;&gt;"",$AS58,IF($AP$7="",0.5*$C$4,$AP$7))/$C$4)),MIN(0.5,IF($AS58&lt;&gt;"",$AS58,IF($AP$7="",0.5*$C$4,$AP$7))/$C$4))))</f>
        <v>1</v>
      </c>
      <c r="M58" s="98" t="n">
        <f aca="false">IF(OR($H58="Not covered",$H58="Child-only"),0,IF($H58="Full",1,IF($H58="Ancillary",MAX(0.1,MIN(0.5,IF($AM58&lt;&gt;"",$AM58,IF($AQ$7="",0.5*$C$4,$AQ$7))/$C$4)),MIN(0.5,IF($AM58&lt;&gt;"",$AM58,IF($AQ$7="",0.5*$C$4,$AQ$7))/$C$4))))</f>
        <v>1</v>
      </c>
      <c r="N58" s="98" t="n">
        <f aca="false">IF(OR($I58="Not covered",$I58="Child-only"),0,IF($I58="Full",1,IF($I58="Ancillary",MAX(0.1,MIN(0.5,IF($AR$7="",0.5*$C$4,$AR$7)/$C$4)),MIN(0.5,IF($AR$7="",0.5*$C$4,$AR$7)/$C$4))))</f>
        <v>1</v>
      </c>
      <c r="O58" s="1" t="n">
        <f aca="false">IF(OR($AF$7="",$AG$7=""),"",MAX(AF58/$AF$7,AG58/$AG$7)*100000*IF(AI58="",1,AI58))</f>
        <v>1269.65644044653</v>
      </c>
      <c r="P58" s="1" t="n">
        <f aca="false">IF(O58="","",1-EXP(-O58/100000))</f>
        <v>0.0126163030707851</v>
      </c>
      <c r="Q58" s="1" t="s">
        <v>965</v>
      </c>
      <c r="R58" s="1" t="s">
        <v>1137</v>
      </c>
      <c r="S58" s="1" t="n">
        <f aca="false">IF($P58="","",$P58*J58*$C$4*$C$5)</f>
        <v>39812.9024501554</v>
      </c>
      <c r="T58" s="1" t="n">
        <f aca="false">IF($P58="","",$P58*K58*$C$4*$C$5)</f>
        <v>39812.9024501554</v>
      </c>
      <c r="U58" s="1" t="n">
        <f aca="false">IF($P58="","",$P58*L58*$C$4*$C$5)</f>
        <v>39812.9024501554</v>
      </c>
      <c r="V58" s="1" t="n">
        <f aca="false">IF($P58="","",$P58*M58*$C$4*$C$5)</f>
        <v>39812.9024501554</v>
      </c>
      <c r="W58" s="1" t="n">
        <f aca="false">IF($P58="","",$P58*N58*$C$4*$C$5)</f>
        <v>39812.9024501554</v>
      </c>
      <c r="X58" s="1" t="n">
        <f aca="false">IF(S58="","",S58/$E$7)</f>
        <v>2.48033288559105</v>
      </c>
      <c r="Y58" s="1" t="n">
        <f aca="false">IF(T58="","",T58/$F$7)</f>
        <v>3.6339000094239</v>
      </c>
      <c r="Z58" s="1" t="n">
        <f aca="false">IF(U58="","",U58/$G$7)</f>
        <v>6.58368895011698</v>
      </c>
      <c r="AA58" s="1" t="n">
        <f aca="false">IF(V58="","",V58/$H$7)</f>
        <v>2.7998290768385</v>
      </c>
      <c r="AB58" s="1" t="n">
        <f aca="false">IF(W58="","",W58/$I$7)</f>
        <v>2.64026691825109</v>
      </c>
      <c r="AC58" s="1" t="str">
        <f aca="false">IF(COUNTIF(X58:AB58,"&gt;="&amp;$C$6)&gt;0,"PROMOTE","")</f>
        <v>PROMOTE</v>
      </c>
      <c r="AD58" s="1" t="str">
        <f aca="false">IF(COUNTIF(Sources_06!$B$33:$B$73,A58)&gt;0,"Y","")</f>
        <v>Y</v>
      </c>
      <c r="AE58" s="1"/>
      <c r="AF58" s="1" t="n">
        <v>25307</v>
      </c>
      <c r="AG58" s="1" t="n">
        <v>16421</v>
      </c>
      <c r="AH58" s="1" t="s">
        <v>1158</v>
      </c>
      <c r="AJ58" s="1" t="s">
        <v>1159</v>
      </c>
      <c r="AK58" s="1" t="n">
        <v>63</v>
      </c>
      <c r="AL58" s="1" t="n">
        <v>52196</v>
      </c>
    </row>
    <row r="59" customFormat="false" ht="15" hidden="false" customHeight="true" outlineLevel="0" collapsed="false">
      <c r="A59" s="1" t="n">
        <v>52</v>
      </c>
      <c r="B59" s="1" t="str">
        <f aca="false">Wording_Ranks!B53</f>
        <v>Short Bowel Syndrome – Requiring Permanent Total Parenteral Nutrition</v>
      </c>
      <c r="C59" s="1" t="str">
        <f aca="false">Wording_Ranks!C53</f>
        <v>Gastrointestinal</v>
      </c>
      <c r="D59" s="1" t="str">
        <f aca="false">Wording_Ranks!D53</f>
        <v>Rare</v>
      </c>
      <c r="E59" s="1" t="str">
        <f aca="false">Wording_Ranks!F53</f>
        <v>Full</v>
      </c>
      <c r="F59" s="1" t="str">
        <f aca="false">Wording_Ranks!H53</f>
        <v>Full</v>
      </c>
      <c r="G59" s="1" t="str">
        <f aca="false">Wording_Ranks!J53</f>
        <v>Full</v>
      </c>
      <c r="H59" s="1" t="str">
        <f aca="false">Wording_Ranks!M53</f>
        <v>Full</v>
      </c>
      <c r="I59" s="1" t="str">
        <f aca="false">Wording_Ranks!O53</f>
        <v>Not covered</v>
      </c>
      <c r="J59" s="98" t="n">
        <f aca="false">IF(OR($E59="Not covered",$E59="Child-only"),0,IF($E59="Full",1,IF($E59="Ancillary",MAX(0.1,MIN(0.5,IF($AN$7="",0.5*$C$4,$AN$7)/$C$4)),MIN(0.5,IF($AN$7="",0.5*$C$4,$AN$7)/$C$4))))</f>
        <v>1</v>
      </c>
      <c r="K59" s="98" t="n">
        <f aca="false">IF(OR($F59="Not covered",$F59="Child-only"),0,IF($F59="Full",1,IF($AD59="Y",$AE59,IF($F59="Ancillary",MAX(0.1,MIN(0.5,IF($AO$7="",0.5*$C$4,$AO$7)/$C$4)),MIN(0.5,IF($AO$7="",0.5*$C$4,$AO$7)/$C$4)))))</f>
        <v>1</v>
      </c>
      <c r="L59" s="98" t="n">
        <f aca="false">IF(OR($G59="Not covered",$G59="Child-only"),0,IF($G59="Full",1,IF($G59="Ancillary",MAX(0.1,MIN(0.5,IF($AS59&lt;&gt;"",$AS59,IF($AP$7="",0.5*$C$4,$AP$7))/$C$4)),MIN(0.5,IF($AS59&lt;&gt;"",$AS59,IF($AP$7="",0.5*$C$4,$AP$7))/$C$4))))</f>
        <v>1</v>
      </c>
      <c r="M59" s="98" t="n">
        <f aca="false">IF(OR($H59="Not covered",$H59="Child-only"),0,IF($H59="Full",1,IF($H59="Ancillary",MAX(0.1,MIN(0.5,IF($AM59&lt;&gt;"",$AM59,IF($AQ$7="",0.5*$C$4,$AQ$7))/$C$4)),MIN(0.5,IF($AM59&lt;&gt;"",$AM59,IF($AQ$7="",0.5*$C$4,$AQ$7))/$C$4))))</f>
        <v>1</v>
      </c>
      <c r="N59" s="98" t="n">
        <f aca="false">IF(OR($I59="Not covered",$I59="Child-only"),0,IF($I59="Full",1,IF($I59="Ancillary",MAX(0.1,MIN(0.5,IF($AR$7="",0.5*$C$4,$AR$7)/$C$4)),MIN(0.5,IF($AR$7="",0.5*$C$4,$AR$7)/$C$4))))</f>
        <v>0</v>
      </c>
      <c r="P59" s="1" t="str">
        <f aca="false">IF(O59="","",1-EXP(-O59/100000))</f>
        <v/>
      </c>
      <c r="R59" s="1" t="s">
        <v>822</v>
      </c>
      <c r="S59" s="1" t="str">
        <f aca="false">IF($P59="","",$P59*J59*$C$4*$C$5)</f>
        <v/>
      </c>
      <c r="T59" s="1" t="str">
        <f aca="false">IF($P59="","",$P59*K59*$C$4*$C$5)</f>
        <v/>
      </c>
      <c r="U59" s="1" t="str">
        <f aca="false">IF($P59="","",$P59*L59*$C$4*$C$5)</f>
        <v/>
      </c>
      <c r="V59" s="1" t="str">
        <f aca="false">IF($P59="","",$P59*M59*$C$4*$C$5)</f>
        <v/>
      </c>
      <c r="W59" s="1" t="str">
        <f aca="false">IF($P59="","",$P59*N59*$C$4*$C$5)</f>
        <v/>
      </c>
      <c r="X59" s="1" t="str">
        <f aca="false">IF(S59="","",S59/$E$7)</f>
        <v/>
      </c>
      <c r="Y59" s="1" t="str">
        <f aca="false">IF(T59="","",T59/$F$7)</f>
        <v/>
      </c>
      <c r="Z59" s="1" t="str">
        <f aca="false">IF(U59="","",U59/$G$7)</f>
        <v/>
      </c>
      <c r="AA59" s="1" t="str">
        <f aca="false">IF(V59="","",V59/$H$7)</f>
        <v/>
      </c>
      <c r="AB59" s="1" t="str">
        <f aca="false">IF(W59="","",W59/$I$7)</f>
        <v/>
      </c>
      <c r="AC59" s="1" t="str">
        <f aca="false">IF(COUNTIF(X59:AB59,"&gt;="&amp;$C$6)&gt;0,"PROMOTE","")</f>
        <v/>
      </c>
      <c r="AD59" s="1" t="str">
        <f aca="false">IF(COUNTIF(Sources_06!$B$33:$B$73,A59)&gt;0,"Y","")</f>
        <v/>
      </c>
      <c r="AE59" s="1" t="str">
        <f aca="false">IF(AD59="Y",MIN(0.5,Sources_06!$D$11/$C$4),"")</f>
        <v/>
      </c>
      <c r="AK59" s="1" t="n">
        <v>64</v>
      </c>
      <c r="AL59" s="1" t="n">
        <v>51236</v>
      </c>
    </row>
    <row r="60" customFormat="false" ht="15" hidden="false" customHeight="true" outlineLevel="0" collapsed="false">
      <c r="A60" s="1" t="n">
        <v>53</v>
      </c>
      <c r="B60" s="1" t="str">
        <f aca="false">Wording_Ranks!B54</f>
        <v>Ulcerative Colitis – Treated with Total Colectomy</v>
      </c>
      <c r="C60" s="1" t="str">
        <f aca="false">Wording_Ranks!C54</f>
        <v>Gastrointestinal</v>
      </c>
      <c r="D60" s="1" t="str">
        <f aca="false">Wording_Ranks!D54</f>
        <v>Low</v>
      </c>
      <c r="E60" s="1" t="str">
        <f aca="false">Wording_Ranks!F54</f>
        <v>Partial</v>
      </c>
      <c r="F60" s="1" t="str">
        <f aca="false">Wording_Ranks!H54</f>
        <v>Partial</v>
      </c>
      <c r="G60" s="1" t="str">
        <f aca="false">Wording_Ranks!J54</f>
        <v>Partial</v>
      </c>
      <c r="H60" s="1" t="str">
        <f aca="false">Wording_Ranks!M54</f>
        <v>Partial</v>
      </c>
      <c r="I60" s="1" t="str">
        <f aca="false">Wording_Ranks!O54</f>
        <v>Partial</v>
      </c>
      <c r="J60" s="98" t="n">
        <f aca="false">IF(OR($E60="Not covered",$E60="Child-only"),0,IF($E60="Full",1,IF($E60="Ancillary",MAX(0.1,MIN(0.5,IF($AN$7="",0.5*$C$4,$AN$7)/$C$4)),MIN(0.5,IF($AN$7="",0.5*$C$4,$AN$7)/$C$4))))</f>
        <v>0.124223602484472</v>
      </c>
      <c r="K60" s="98" t="n">
        <f aca="false">IF(OR($F60="Not covered",$F60="Child-only"),0,IF($F60="Full",1,IF($AD60="Y",$AE60,IF($F60="Ancillary",MAX(0.1,MIN(0.5,IF($AO$7="",0.5*$C$4,$AO$7)/$C$4)),MIN(0.5,IF($AO$7="",0.5*$C$4,$AO$7)/$C$4)))))</f>
        <v>0.093167701863354</v>
      </c>
      <c r="L60" s="98" t="n">
        <f aca="false">IF(OR($G60="Not covered",$G60="Child-only"),0,IF($G60="Full",1,IF($G60="Ancillary",MAX(0.1,MIN(0.5,IF($AS60&lt;&gt;"",$AS60,IF($AP$7="",0.5*$C$4,$AP$7))/$C$4)),MIN(0.5,IF($AS60&lt;&gt;"",$AS60,IF($AP$7="",0.5*$C$4,$AP$7))/$C$4))))</f>
        <v>0.093167701863354</v>
      </c>
      <c r="M60" s="98" t="n">
        <f aca="false">IF(OR($H60="Not covered",$H60="Child-only"),0,IF($H60="Full",1,IF($H60="Ancillary",MAX(0.1,MIN(0.5,IF($AM60&lt;&gt;"",$AM60,IF($AQ$7="",0.5*$C$4,$AQ$7))/$C$4)),MIN(0.5,IF($AM60&lt;&gt;"",$AM60,IF($AQ$7="",0.5*$C$4,$AQ$7))/$C$4))))</f>
        <v>0.093167701863354</v>
      </c>
      <c r="N60" s="98" t="n">
        <f aca="false">IF(OR($I60="Not covered",$I60="Child-only"),0,IF($I60="Full",1,IF($I60="Ancillary",MAX(0.1,MIN(0.5,IF($AR$7="",0.5*$C$4,$AR$7)/$C$4)),MIN(0.5,IF($AR$7="",0.5*$C$4,$AR$7)/$C$4))))</f>
        <v>0.093167701863354</v>
      </c>
      <c r="O60" s="1" t="n">
        <f aca="false">IF(OR($AF$7="",$AG$7=""),"",MAX(AF60/$AF$7,AG60/$AG$7)*100000*IF(AI60="",1,AI60))</f>
        <v>1269.65644044653</v>
      </c>
      <c r="P60" s="1" t="n">
        <f aca="false">IF(O60="","",1-EXP(-O60/100000))</f>
        <v>0.0126163030707851</v>
      </c>
      <c r="Q60" s="1" t="s">
        <v>965</v>
      </c>
      <c r="R60" s="1" t="s">
        <v>1137</v>
      </c>
      <c r="S60" s="1" t="n">
        <f aca="false">IF($P60="","",$P60*J60*$C$4*$C$5)</f>
        <v>4945.70216772117</v>
      </c>
      <c r="T60" s="1" t="n">
        <f aca="false">IF($P60="","",$P60*K60*$C$4*$C$5)</f>
        <v>3709.27662579088</v>
      </c>
      <c r="U60" s="1" t="n">
        <f aca="false">IF($P60="","",$P60*L60*$C$4*$C$5)</f>
        <v>3709.27662579088</v>
      </c>
      <c r="V60" s="1" t="n">
        <f aca="false">IF($P60="","",$P60*M60*$C$4*$C$5)</f>
        <v>3709.27662579088</v>
      </c>
      <c r="W60" s="1" t="n">
        <f aca="false">IF($P60="","",$P60*N60*$C$4*$C$5)</f>
        <v>3709.27662579088</v>
      </c>
      <c r="X60" s="1" t="n">
        <f aca="false">IF(S60="","",S60/$E$7)</f>
        <v>0.308115886408826</v>
      </c>
      <c r="Y60" s="1" t="n">
        <f aca="false">IF(T60="","",T60/$F$7)</f>
        <v>0.338562112679246</v>
      </c>
      <c r="Z60" s="1" t="n">
        <f aca="false">IF(U60="","",U60/$G$7)</f>
        <v>0.613387169265557</v>
      </c>
      <c r="AA60" s="1" t="n">
        <f aca="false">IF(V60="","",V60/$H$7)</f>
        <v>0.260853640699239</v>
      </c>
      <c r="AB60" s="1" t="n">
        <f aca="false">IF(W60="","",W60/$I$7)</f>
        <v>0.245987601079294</v>
      </c>
      <c r="AC60" s="1" t="str">
        <f aca="false">IF(COUNTIF(X60:AB60,"&gt;="&amp;$C$6)&gt;0,"PROMOTE","")</f>
        <v>PROMOTE</v>
      </c>
      <c r="AD60" s="1" t="str">
        <f aca="false">IF(COUNTIF(Sources_06!$B$33:$B$73,A60)&gt;0,"Y","")</f>
        <v>Y</v>
      </c>
      <c r="AE60" s="1" t="n">
        <f aca="false">IF(AD60="Y",MIN(0.5,Sources_06!$D$11/$C$4),"")</f>
        <v>0.093167701863354</v>
      </c>
      <c r="AF60" s="1" t="n">
        <v>25307</v>
      </c>
      <c r="AG60" s="1" t="n">
        <v>16421</v>
      </c>
      <c r="AH60" s="1" t="s">
        <v>1158</v>
      </c>
      <c r="AJ60" s="1" t="s">
        <v>1159</v>
      </c>
    </row>
    <row r="61" customFormat="false" ht="15" hidden="false" customHeight="true" outlineLevel="0" collapsed="false">
      <c r="A61" s="1" t="n">
        <v>54</v>
      </c>
      <c r="B61" s="1" t="str">
        <f aca="false">Wording_Ranks!B55</f>
        <v>Aplastic Anaemia – of Specified Severity</v>
      </c>
      <c r="C61" s="1" t="str">
        <f aca="false">Wording_Ranks!C55</f>
        <v>Haematological</v>
      </c>
      <c r="D61" s="1" t="str">
        <f aca="false">Wording_Ranks!D55</f>
        <v>Rare</v>
      </c>
      <c r="E61" s="1" t="str">
        <f aca="false">Wording_Ranks!F55</f>
        <v>Full</v>
      </c>
      <c r="F61" s="1" t="str">
        <f aca="false">Wording_Ranks!H55</f>
        <v>Full</v>
      </c>
      <c r="G61" s="1" t="str">
        <f aca="false">Wording_Ranks!J55</f>
        <v>Full</v>
      </c>
      <c r="H61" s="1" t="str">
        <f aca="false">Wording_Ranks!M55</f>
        <v>Full</v>
      </c>
      <c r="I61" s="1" t="str">
        <f aca="false">Wording_Ranks!O55</f>
        <v>Full</v>
      </c>
      <c r="J61" s="98" t="n">
        <f aca="false">IF(OR($E61="Not covered",$E61="Child-only"),0,IF($E61="Full",1,IF($E61="Ancillary",MAX(0.1,MIN(0.5,IF($AN$7="",0.5*$C$4,$AN$7)/$C$4)),MIN(0.5,IF($AN$7="",0.5*$C$4,$AN$7)/$C$4))))</f>
        <v>1</v>
      </c>
      <c r="K61" s="98" t="n">
        <f aca="false">IF(OR($F61="Not covered",$F61="Child-only"),0,IF($F61="Full",1,IF($AD61="Y",$AE61,IF($F61="Ancillary",MAX(0.1,MIN(0.5,IF($AO$7="",0.5*$C$4,$AO$7)/$C$4)),MIN(0.5,IF($AO$7="",0.5*$C$4,$AO$7)/$C$4)))))</f>
        <v>1</v>
      </c>
      <c r="L61" s="98" t="n">
        <f aca="false">IF(OR($G61="Not covered",$G61="Child-only"),0,IF($G61="Full",1,IF($G61="Ancillary",MAX(0.1,MIN(0.5,IF($AS61&lt;&gt;"",$AS61,IF($AP$7="",0.5*$C$4,$AP$7))/$C$4)),MIN(0.5,IF($AS61&lt;&gt;"",$AS61,IF($AP$7="",0.5*$C$4,$AP$7))/$C$4))))</f>
        <v>1</v>
      </c>
      <c r="M61" s="98" t="n">
        <f aca="false">IF(OR($H61="Not covered",$H61="Child-only"),0,IF($H61="Full",1,IF($H61="Ancillary",MAX(0.1,MIN(0.5,IF($AM61&lt;&gt;"",$AM61,IF($AQ$7="",0.5*$C$4,$AQ$7))/$C$4)),MIN(0.5,IF($AM61&lt;&gt;"",$AM61,IF($AQ$7="",0.5*$C$4,$AQ$7))/$C$4))))</f>
        <v>1</v>
      </c>
      <c r="N61" s="98" t="n">
        <f aca="false">IF(OR($I61="Not covered",$I61="Child-only"),0,IF($I61="Full",1,IF($I61="Ancillary",MAX(0.1,MIN(0.5,IF($AR$7="",0.5*$C$4,$AR$7)/$C$4)),MIN(0.5,IF($AR$7="",0.5*$C$4,$AR$7)/$C$4))))</f>
        <v>1</v>
      </c>
      <c r="O61" s="1" t="n">
        <f aca="false">IF(OR($AF$7="",$AG$7=""),"",MAX(AF61/$AF$7,AG61/$AG$7)*100000*IF(AI61="",1,AI61))</f>
        <v>1481.2014146297</v>
      </c>
      <c r="P61" s="1" t="n">
        <f aca="false">IF(O61="","",1-EXP(-O61/100000))</f>
        <v>0.0147028558806088</v>
      </c>
      <c r="Q61" s="1" t="s">
        <v>965</v>
      </c>
      <c r="R61" s="1" t="s">
        <v>1137</v>
      </c>
      <c r="S61" s="1" t="n">
        <f aca="false">IF($P61="","",$P61*J61*$C$4*$C$5)</f>
        <v>46397.3767615704</v>
      </c>
      <c r="T61" s="1" t="n">
        <f aca="false">IF($P61="","",$P61*K61*$C$4*$C$5)</f>
        <v>46397.3767615704</v>
      </c>
      <c r="U61" s="1" t="n">
        <f aca="false">IF($P61="","",$P61*L61*$C$4*$C$5)</f>
        <v>46397.3767615704</v>
      </c>
      <c r="V61" s="1" t="n">
        <f aca="false">IF($P61="","",$P61*M61*$C$4*$C$5)</f>
        <v>46397.3767615704</v>
      </c>
      <c r="W61" s="1" t="n">
        <f aca="false">IF($P61="","",$P61*N61*$C$4*$C$5)</f>
        <v>46397.3767615704</v>
      </c>
      <c r="X61" s="1" t="n">
        <f aca="false">IF(S61="","",S61/$E$7)</f>
        <v>2.89054382636279</v>
      </c>
      <c r="Y61" s="1" t="n">
        <f aca="false">IF(T61="","",T61/$F$7)</f>
        <v>4.2348941542808</v>
      </c>
      <c r="Z61" s="1" t="n">
        <f aca="false">IF(U61="","",U61/$G$7)</f>
        <v>7.67253523105981</v>
      </c>
      <c r="AA61" s="1" t="n">
        <f aca="false">IF(V61="","",V61/$H$7)</f>
        <v>3.26288003515224</v>
      </c>
      <c r="AB61" s="1" t="n">
        <f aca="false">IF(W61="","",W61/$I$7)</f>
        <v>3.07692861907203</v>
      </c>
      <c r="AC61" s="1" t="str">
        <f aca="false">IF(COUNTIF(X61:AB61,"&gt;="&amp;$C$6)&gt;0,"PROMOTE","")</f>
        <v>PROMOTE</v>
      </c>
      <c r="AD61" s="1" t="str">
        <f aca="false">IF(COUNTIF(Sources_06!$B$33:$B$73,A61)&gt;0,"Y","")</f>
        <v/>
      </c>
      <c r="AE61" s="1" t="str">
        <f aca="false">IF(AD61="Y",MIN(0.5,Sources_06!$D$11/$C$4),"")</f>
        <v/>
      </c>
      <c r="AF61" s="1" t="n">
        <v>17670</v>
      </c>
      <c r="AG61" s="1" t="n">
        <v>19157</v>
      </c>
      <c r="AH61" s="1" t="s">
        <v>1160</v>
      </c>
      <c r="AJ61" s="1" t="s">
        <v>1161</v>
      </c>
    </row>
    <row r="62" customFormat="false" ht="15" hidden="false" customHeight="true" outlineLevel="0" collapsed="false">
      <c r="A62" s="1" t="n">
        <v>55</v>
      </c>
      <c r="B62" s="1" t="str">
        <f aca="false">Wording_Ranks!B56</f>
        <v>Disseminated Intravascular Coagulation (DIC)</v>
      </c>
      <c r="C62" s="1" t="str">
        <f aca="false">Wording_Ranks!C56</f>
        <v>Haematological</v>
      </c>
      <c r="D62" s="1" t="str">
        <f aca="false">Wording_Ranks!D56</f>
        <v>Rare</v>
      </c>
      <c r="E62" s="1" t="str">
        <f aca="false">Wording_Ranks!F56</f>
        <v>Not covered</v>
      </c>
      <c r="F62" s="1" t="str">
        <f aca="false">Wording_Ranks!H56</f>
        <v>Ancillary</v>
      </c>
      <c r="G62" s="1" t="str">
        <f aca="false">Wording_Ranks!J56</f>
        <v>Not covered</v>
      </c>
      <c r="H62" s="1" t="str">
        <f aca="false">Wording_Ranks!M56</f>
        <v>Not covered</v>
      </c>
      <c r="I62" s="1" t="str">
        <f aca="false">Wording_Ranks!O56</f>
        <v>Not covered</v>
      </c>
      <c r="J62" s="98" t="n">
        <f aca="false">IF(OR($E62="Not covered",$E62="Child-only"),0,IF($E62="Full",1,IF($E62="Ancillary",MAX(0.1,MIN(0.5,IF($AN$7="",0.5*$C$4,$AN$7)/$C$4)),MIN(0.5,IF($AN$7="",0.5*$C$4,$AN$7)/$C$4))))</f>
        <v>0</v>
      </c>
      <c r="K62" s="98" t="n">
        <f aca="false">IF(OR($F62="Not covered",$F62="Child-only"),0,IF($F62="Full",1,IF($AD62="Y",$AE62,IF($F62="Ancillary",MAX(0.1,MIN(0.5,IF($AO$7="",0.5*$C$4,$AO$7)/$C$4)),MIN(0.5,IF($AO$7="",0.5*$C$4,$AO$7)/$C$4)))))</f>
        <v>0.1</v>
      </c>
      <c r="L62" s="98" t="n">
        <f aca="false">IF(OR($G62="Not covered",$G62="Child-only"),0,IF($G62="Full",1,IF($G62="Ancillary",MAX(0.1,MIN(0.5,IF($AS62&lt;&gt;"",$AS62,IF($AP$7="",0.5*$C$4,$AP$7))/$C$4)),MIN(0.5,IF($AS62&lt;&gt;"",$AS62,IF($AP$7="",0.5*$C$4,$AP$7))/$C$4))))</f>
        <v>0</v>
      </c>
      <c r="M62" s="98" t="n">
        <f aca="false">IF(OR($H62="Not covered",$H62="Child-only"),0,IF($H62="Full",1,IF($H62="Ancillary",MAX(0.1,MIN(0.5,IF($AM62&lt;&gt;"",$AM62,IF($AQ$7="",0.5*$C$4,$AQ$7))/$C$4)),MIN(0.5,IF($AM62&lt;&gt;"",$AM62,IF($AQ$7="",0.5*$C$4,$AQ$7))/$C$4))))</f>
        <v>0</v>
      </c>
      <c r="N62" s="98" t="n">
        <f aca="false">IF(OR($I62="Not covered",$I62="Child-only"),0,IF($I62="Full",1,IF($I62="Ancillary",MAX(0.1,MIN(0.5,IF($AR$7="",0.5*$C$4,$AR$7)/$C$4)),MIN(0.5,IF($AR$7="",0.5*$C$4,$AR$7)/$C$4))))</f>
        <v>0</v>
      </c>
      <c r="P62" s="1" t="str">
        <f aca="false">IF(O62="","",1-EXP(-O62/100000))</f>
        <v/>
      </c>
      <c r="R62" s="1" t="s">
        <v>822</v>
      </c>
      <c r="S62" s="1" t="str">
        <f aca="false">IF($P62="","",$P62*J62*$C$4*$C$5)</f>
        <v/>
      </c>
      <c r="T62" s="1" t="str">
        <f aca="false">IF($P62="","",$P62*K62*$C$4*$C$5)</f>
        <v/>
      </c>
      <c r="U62" s="1" t="str">
        <f aca="false">IF($P62="","",$P62*L62*$C$4*$C$5)</f>
        <v/>
      </c>
      <c r="V62" s="1" t="str">
        <f aca="false">IF($P62="","",$P62*M62*$C$4*$C$5)</f>
        <v/>
      </c>
      <c r="W62" s="1" t="str">
        <f aca="false">IF($P62="","",$P62*N62*$C$4*$C$5)</f>
        <v/>
      </c>
      <c r="X62" s="1" t="str">
        <f aca="false">IF(S62="","",S62/$E$7)</f>
        <v/>
      </c>
      <c r="Y62" s="1" t="str">
        <f aca="false">IF(T62="","",T62/$F$7)</f>
        <v/>
      </c>
      <c r="Z62" s="1" t="str">
        <f aca="false">IF(U62="","",U62/$G$7)</f>
        <v/>
      </c>
      <c r="AA62" s="1" t="str">
        <f aca="false">IF(V62="","",V62/$H$7)</f>
        <v/>
      </c>
      <c r="AB62" s="1" t="str">
        <f aca="false">IF(W62="","",W62/$I$7)</f>
        <v/>
      </c>
      <c r="AC62" s="1" t="str">
        <f aca="false">IF(COUNTIF(X62:AB62,"&gt;="&amp;$C$6)&gt;0,"PROMOTE","")</f>
        <v/>
      </c>
      <c r="AD62" s="1" t="str">
        <f aca="false">IF(COUNTIF(Sources_06!$B$33:$B$73,A62)&gt;0,"Y","")</f>
        <v/>
      </c>
      <c r="AE62" s="1" t="str">
        <f aca="false">IF(AD62="Y",MIN(0.5,Sources_06!$D$11/$C$4),"")</f>
        <v/>
      </c>
    </row>
    <row r="63" customFormat="false" ht="15" hidden="false" customHeight="true" outlineLevel="0" collapsed="false">
      <c r="A63" s="1" t="n">
        <v>56</v>
      </c>
      <c r="B63" s="1" t="str">
        <f aca="false">Wording_Ranks!B57</f>
        <v>Liver Failure – End Stage</v>
      </c>
      <c r="C63" s="1" t="str">
        <f aca="false">Wording_Ranks!C57</f>
        <v>Hepatic</v>
      </c>
      <c r="D63" s="1" t="str">
        <f aca="false">Wording_Ranks!D57</f>
        <v>Low</v>
      </c>
      <c r="E63" s="1" t="str">
        <f aca="false">Wording_Ranks!F57</f>
        <v>Full</v>
      </c>
      <c r="F63" s="1" t="str">
        <f aca="false">Wording_Ranks!H57</f>
        <v>Full</v>
      </c>
      <c r="G63" s="1" t="str">
        <f aca="false">Wording_Ranks!J57</f>
        <v>Full</v>
      </c>
      <c r="H63" s="1" t="str">
        <f aca="false">Wording_Ranks!M57</f>
        <v>Full</v>
      </c>
      <c r="I63" s="1" t="str">
        <f aca="false">Wording_Ranks!O57</f>
        <v>Full</v>
      </c>
      <c r="J63" s="98" t="n">
        <f aca="false">IF(OR($E63="Not covered",$E63="Child-only"),0,IF($E63="Full",1,IF($E63="Ancillary",MAX(0.1,MIN(0.5,IF($AN$7="",0.5*$C$4,$AN$7)/$C$4)),MIN(0.5,IF($AN$7="",0.5*$C$4,$AN$7)/$C$4))))</f>
        <v>1</v>
      </c>
      <c r="K63" s="98" t="n">
        <f aca="false">IF(OR($F63="Not covered",$F63="Child-only"),0,IF($F63="Full",1,IF($AD63="Y",$AE63,IF($F63="Ancillary",MAX(0.1,MIN(0.5,IF($AO$7="",0.5*$C$4,$AO$7)/$C$4)),MIN(0.5,IF($AO$7="",0.5*$C$4,$AO$7)/$C$4)))))</f>
        <v>1</v>
      </c>
      <c r="L63" s="98" t="n">
        <f aca="false">IF(OR($G63="Not covered",$G63="Child-only"),0,IF($G63="Full",1,IF($G63="Ancillary",MAX(0.1,MIN(0.5,IF($AS63&lt;&gt;"",$AS63,IF($AP$7="",0.5*$C$4,$AP$7))/$C$4)),MIN(0.5,IF($AS63&lt;&gt;"",$AS63,IF($AP$7="",0.5*$C$4,$AP$7))/$C$4))))</f>
        <v>1</v>
      </c>
      <c r="M63" s="98" t="n">
        <f aca="false">IF(OR($H63="Not covered",$H63="Child-only"),0,IF($H63="Full",1,IF($H63="Ancillary",MAX(0.1,MIN(0.5,IF($AM63&lt;&gt;"",$AM63,IF($AQ$7="",0.5*$C$4,$AQ$7))/$C$4)),MIN(0.5,IF($AM63&lt;&gt;"",$AM63,IF($AQ$7="",0.5*$C$4,$AQ$7))/$C$4))))</f>
        <v>1</v>
      </c>
      <c r="N63" s="98" t="n">
        <f aca="false">IF(OR($I63="Not covered",$I63="Child-only"),0,IF($I63="Full",1,IF($I63="Ancillary",MAX(0.1,MIN(0.5,IF($AR$7="",0.5*$C$4,$AR$7)/$C$4)),MIN(0.5,IF($AR$7="",0.5*$C$4,$AR$7)/$C$4))))</f>
        <v>1</v>
      </c>
      <c r="P63" s="1" t="str">
        <f aca="false">IF(O63="","",1-EXP(-O63/100000))</f>
        <v/>
      </c>
      <c r="R63" s="1" t="s">
        <v>822</v>
      </c>
      <c r="S63" s="1" t="str">
        <f aca="false">IF($P63="","",$P63*J63*$C$4*$C$5)</f>
        <v/>
      </c>
      <c r="T63" s="1" t="str">
        <f aca="false">IF($P63="","",$P63*K63*$C$4*$C$5)</f>
        <v/>
      </c>
      <c r="U63" s="1" t="str">
        <f aca="false">IF($P63="","",$P63*L63*$C$4*$C$5)</f>
        <v/>
      </c>
      <c r="V63" s="1" t="str">
        <f aca="false">IF($P63="","",$P63*M63*$C$4*$C$5)</f>
        <v/>
      </c>
      <c r="W63" s="1" t="str">
        <f aca="false">IF($P63="","",$P63*N63*$C$4*$C$5)</f>
        <v/>
      </c>
      <c r="X63" s="1" t="str">
        <f aca="false">IF(S63="","",S63/$E$7)</f>
        <v/>
      </c>
      <c r="Y63" s="1" t="str">
        <f aca="false">IF(T63="","",T63/$F$7)</f>
        <v/>
      </c>
      <c r="Z63" s="1" t="str">
        <f aca="false">IF(U63="","",U63/$G$7)</f>
        <v/>
      </c>
      <c r="AA63" s="1" t="str">
        <f aca="false">IF(V63="","",V63/$H$7)</f>
        <v/>
      </c>
      <c r="AB63" s="1" t="str">
        <f aca="false">IF(W63="","",W63/$I$7)</f>
        <v/>
      </c>
      <c r="AC63" s="1" t="str">
        <f aca="false">IF(COUNTIF(X63:AB63,"&gt;="&amp;$C$6)&gt;0,"PROMOTE","")</f>
        <v/>
      </c>
      <c r="AD63" s="1" t="str">
        <f aca="false">IF(COUNTIF(Sources_06!$B$33:$B$73,A63)&gt;0,"Y","")</f>
        <v/>
      </c>
      <c r="AE63" s="1" t="str">
        <f aca="false">IF(AD63="Y",MIN(0.5,Sources_06!$D$11/$C$4),"")</f>
        <v/>
      </c>
    </row>
    <row r="64" customFormat="false" ht="15" hidden="false" customHeight="true" outlineLevel="0" collapsed="false">
      <c r="A64" s="1" t="n">
        <v>57</v>
      </c>
      <c r="B64" s="1" t="str">
        <f aca="false">Wording_Ranks!B58</f>
        <v>Liver Resection</v>
      </c>
      <c r="C64" s="1" t="str">
        <f aca="false">Wording_Ranks!C58</f>
        <v>Hepatic</v>
      </c>
      <c r="D64" s="1" t="str">
        <f aca="false">Wording_Ranks!D58</f>
        <v>Low</v>
      </c>
      <c r="E64" s="1" t="str">
        <f aca="false">Wording_Ranks!F58</f>
        <v>Partial</v>
      </c>
      <c r="F64" s="1" t="str">
        <f aca="false">Wording_Ranks!H58</f>
        <v>Partial</v>
      </c>
      <c r="G64" s="1" t="str">
        <f aca="false">Wording_Ranks!J58</f>
        <v>Partial</v>
      </c>
      <c r="H64" s="1" t="str">
        <f aca="false">Wording_Ranks!M58</f>
        <v>Partial</v>
      </c>
      <c r="I64" s="1" t="str">
        <f aca="false">Wording_Ranks!O58</f>
        <v>Partial</v>
      </c>
      <c r="J64" s="98" t="n">
        <f aca="false">IF(OR($E64="Not covered",$E64="Child-only"),0,IF($E64="Full",1,IF($E64="Ancillary",MAX(0.1,MIN(0.5,IF($AN$7="",0.5*$C$4,$AN$7)/$C$4)),MIN(0.5,IF($AN$7="",0.5*$C$4,$AN$7)/$C$4))))</f>
        <v>0.124223602484472</v>
      </c>
      <c r="K64" s="98" t="n">
        <f aca="false">IF(OR($F64="Not covered",$F64="Child-only"),0,IF($F64="Full",1,IF($AD64="Y",$AE64,IF($F64="Ancillary",MAX(0.1,MIN(0.5,IF($AO$7="",0.5*$C$4,$AO$7)/$C$4)),MIN(0.5,IF($AO$7="",0.5*$C$4,$AO$7)/$C$4)))))</f>
        <v>0.093167701863354</v>
      </c>
      <c r="L64" s="98" t="n">
        <f aca="false">IF(OR($G64="Not covered",$G64="Child-only"),0,IF($G64="Full",1,IF($G64="Ancillary",MAX(0.1,MIN(0.5,IF($AS64&lt;&gt;"",$AS64,IF($AP$7="",0.5*$C$4,$AP$7))/$C$4)),MIN(0.5,IF($AS64&lt;&gt;"",$AS64,IF($AP$7="",0.5*$C$4,$AP$7))/$C$4))))</f>
        <v>0.093167701863354</v>
      </c>
      <c r="M64" s="98" t="n">
        <f aca="false">IF(OR($H64="Not covered",$H64="Child-only"),0,IF($H64="Full",1,IF($H64="Ancillary",MAX(0.1,MIN(0.5,IF($AM64&lt;&gt;"",$AM64,IF($AQ$7="",0.5*$C$4,$AQ$7))/$C$4)),MIN(0.5,IF($AM64&lt;&gt;"",$AM64,IF($AQ$7="",0.5*$C$4,$AQ$7))/$C$4))))</f>
        <v>0.093167701863354</v>
      </c>
      <c r="N64" s="98" t="n">
        <f aca="false">IF(OR($I64="Not covered",$I64="Child-only"),0,IF($I64="Full",1,IF($I64="Ancillary",MAX(0.1,MIN(0.5,IF($AR$7="",0.5*$C$4,$AR$7)/$C$4)),MIN(0.5,IF($AR$7="",0.5*$C$4,$AR$7)/$C$4))))</f>
        <v>0.093167701863354</v>
      </c>
      <c r="O64" s="1" t="n">
        <f aca="false">IF(OR($AF$7="",$AG$7=""),"",MAX(AF64/$AF$7,AG64/$AG$7)*100000*IF(AI64="",1,AI64))</f>
        <v>7674.53620156154</v>
      </c>
      <c r="P64" s="1" t="n">
        <f aca="false">IF(O64="","",1-EXP(-O64/100000))</f>
        <v>0.0738743496472901</v>
      </c>
      <c r="Q64" s="1" t="s">
        <v>965</v>
      </c>
      <c r="R64" s="1" t="s">
        <v>1137</v>
      </c>
      <c r="S64" s="1" t="n">
        <f aca="false">IF($P64="","",$P64*J64*$C$4*$C$5)</f>
        <v>28959.3971498387</v>
      </c>
      <c r="T64" s="1" t="n">
        <f aca="false">IF($P64="","",$P64*K64*$C$4*$C$5)</f>
        <v>21719.547862379</v>
      </c>
      <c r="U64" s="1" t="n">
        <f aca="false">IF($P64="","",$P64*L64*$C$4*$C$5)</f>
        <v>21719.547862379</v>
      </c>
      <c r="V64" s="1" t="n">
        <f aca="false">IF($P64="","",$P64*M64*$C$4*$C$5)</f>
        <v>21719.547862379</v>
      </c>
      <c r="W64" s="1" t="n">
        <f aca="false">IF($P64="","",$P64*N64*$C$4*$C$5)</f>
        <v>21719.547862379</v>
      </c>
      <c r="X64" s="1" t="n">
        <f aca="false">IF(S64="","",S64/$E$7)</f>
        <v>1.80416248696171</v>
      </c>
      <c r="Y64" s="1" t="n">
        <f aca="false">IF(T64="","",T64/$F$7)</f>
        <v>1.98243936825746</v>
      </c>
      <c r="Z64" s="1" t="n">
        <f aca="false">IF(U64="","",U64/$G$7)</f>
        <v>3.59166849093975</v>
      </c>
      <c r="AA64" s="1" t="n">
        <f aca="false">IF(V64="","",V64/$H$7)</f>
        <v>1.52741995429767</v>
      </c>
      <c r="AB64" s="1" t="n">
        <f aca="false">IF(W64="","",W64/$I$7)</f>
        <v>1.44037234592994</v>
      </c>
      <c r="AC64" s="1" t="str">
        <f aca="false">IF(COUNTIF(X64:AB64,"&gt;="&amp;$C$6)&gt;0,"PROMOTE","")</f>
        <v>PROMOTE</v>
      </c>
      <c r="AD64" s="1" t="str">
        <f aca="false">IF(COUNTIF(Sources_06!$B$33:$B$73,A64)&gt;0,"Y","")</f>
        <v>Y</v>
      </c>
      <c r="AE64" s="1" t="n">
        <f aca="false">IF(AD64="Y",MIN(0.5,Sources_06!$D$11/$C$4),"")</f>
        <v>0.093167701863354</v>
      </c>
      <c r="AF64" s="1" t="n">
        <v>64310</v>
      </c>
      <c r="AG64" s="1" t="n">
        <v>99258</v>
      </c>
      <c r="AH64" s="1" t="s">
        <v>1162</v>
      </c>
      <c r="AJ64" s="1" t="s">
        <v>1163</v>
      </c>
    </row>
    <row r="65" customFormat="false" ht="15" hidden="false" customHeight="true" outlineLevel="0" collapsed="false">
      <c r="A65" s="1" t="n">
        <v>58</v>
      </c>
      <c r="B65" s="1" t="str">
        <f aca="false">Wording_Ranks!B59</f>
        <v>Primary Sclerosing Cholangitis – of Specified Severity</v>
      </c>
      <c r="C65" s="1" t="str">
        <f aca="false">Wording_Ranks!C59</f>
        <v>Hepatic / GI</v>
      </c>
      <c r="D65" s="1" t="str">
        <f aca="false">Wording_Ranks!D59</f>
        <v>Rare</v>
      </c>
      <c r="E65" s="1" t="str">
        <f aca="false">Wording_Ranks!F59</f>
        <v>Full</v>
      </c>
      <c r="F65" s="1" t="str">
        <f aca="false">Wording_Ranks!H59</f>
        <v>Full</v>
      </c>
      <c r="G65" s="1" t="str">
        <f aca="false">Wording_Ranks!J59</f>
        <v>Full</v>
      </c>
      <c r="H65" s="1" t="str">
        <f aca="false">Wording_Ranks!M59</f>
        <v>Full</v>
      </c>
      <c r="I65" s="1" t="str">
        <f aca="false">Wording_Ranks!O59</f>
        <v>Not covered</v>
      </c>
      <c r="J65" s="98" t="n">
        <f aca="false">IF(OR($E65="Not covered",$E65="Child-only"),0,IF($E65="Full",1,IF($E65="Ancillary",MAX(0.1,MIN(0.5,IF($AN$7="",0.5*$C$4,$AN$7)/$C$4)),MIN(0.5,IF($AN$7="",0.5*$C$4,$AN$7)/$C$4))))</f>
        <v>1</v>
      </c>
      <c r="K65" s="98" t="n">
        <f aca="false">IF(OR($F65="Not covered",$F65="Child-only"),0,IF($F65="Full",1,IF($AD65="Y",$AE65,IF($F65="Ancillary",MAX(0.1,MIN(0.5,IF($AO$7="",0.5*$C$4,$AO$7)/$C$4)),MIN(0.5,IF($AO$7="",0.5*$C$4,$AO$7)/$C$4)))))</f>
        <v>1</v>
      </c>
      <c r="L65" s="98" t="n">
        <f aca="false">IF(OR($G65="Not covered",$G65="Child-only"),0,IF($G65="Full",1,IF($G65="Ancillary",MAX(0.1,MIN(0.5,IF($AS65&lt;&gt;"",$AS65,IF($AP$7="",0.5*$C$4,$AP$7))/$C$4)),MIN(0.5,IF($AS65&lt;&gt;"",$AS65,IF($AP$7="",0.5*$C$4,$AP$7))/$C$4))))</f>
        <v>1</v>
      </c>
      <c r="M65" s="98" t="n">
        <f aca="false">IF(OR($H65="Not covered",$H65="Child-only"),0,IF($H65="Full",1,IF($H65="Ancillary",MAX(0.1,MIN(0.5,IF($AM65&lt;&gt;"",$AM65,IF($AQ$7="",0.5*$C$4,$AQ$7))/$C$4)),MIN(0.5,IF($AM65&lt;&gt;"",$AM65,IF($AQ$7="",0.5*$C$4,$AQ$7))/$C$4))))</f>
        <v>1</v>
      </c>
      <c r="N65" s="98" t="n">
        <f aca="false">IF(OR($I65="Not covered",$I65="Child-only"),0,IF($I65="Full",1,IF($I65="Ancillary",MAX(0.1,MIN(0.5,IF($AR$7="",0.5*$C$4,$AR$7)/$C$4)),MIN(0.5,IF($AR$7="",0.5*$C$4,$AR$7)/$C$4))))</f>
        <v>0</v>
      </c>
      <c r="P65" s="1" t="str">
        <f aca="false">IF(O65="","",1-EXP(-O65/100000))</f>
        <v/>
      </c>
      <c r="R65" s="1" t="s">
        <v>822</v>
      </c>
      <c r="S65" s="1" t="str">
        <f aca="false">IF($P65="","",$P65*J65*$C$4*$C$5)</f>
        <v/>
      </c>
      <c r="T65" s="1" t="str">
        <f aca="false">IF($P65="","",$P65*K65*$C$4*$C$5)</f>
        <v/>
      </c>
      <c r="U65" s="1" t="str">
        <f aca="false">IF($P65="","",$P65*L65*$C$4*$C$5)</f>
        <v/>
      </c>
      <c r="V65" s="1" t="str">
        <f aca="false">IF($P65="","",$P65*M65*$C$4*$C$5)</f>
        <v/>
      </c>
      <c r="W65" s="1" t="str">
        <f aca="false">IF($P65="","",$P65*N65*$C$4*$C$5)</f>
        <v/>
      </c>
      <c r="X65" s="1" t="str">
        <f aca="false">IF(S65="","",S65/$E$7)</f>
        <v/>
      </c>
      <c r="Y65" s="1" t="str">
        <f aca="false">IF(T65="","",T65/$F$7)</f>
        <v/>
      </c>
      <c r="Z65" s="1" t="str">
        <f aca="false">IF(U65="","",U65/$G$7)</f>
        <v/>
      </c>
      <c r="AA65" s="1" t="str">
        <f aca="false">IF(V65="","",V65/$H$7)</f>
        <v/>
      </c>
      <c r="AB65" s="1" t="str">
        <f aca="false">IF(W65="","",W65/$I$7)</f>
        <v/>
      </c>
      <c r="AC65" s="1" t="str">
        <f aca="false">IF(COUNTIF(X65:AB65,"&gt;="&amp;$C$6)&gt;0,"PROMOTE","")</f>
        <v/>
      </c>
      <c r="AD65" s="1" t="str">
        <f aca="false">IF(COUNTIF(Sources_06!$B$33:$B$73,A65)&gt;0,"Y","")</f>
        <v/>
      </c>
      <c r="AE65" s="1" t="str">
        <f aca="false">IF(AD65="Y",MIN(0.5,Sources_06!$D$11/$C$4),"")</f>
        <v/>
      </c>
    </row>
    <row r="66" customFormat="false" ht="15" hidden="false" customHeight="true" outlineLevel="0" collapsed="false">
      <c r="A66" s="1" t="n">
        <v>59</v>
      </c>
      <c r="B66" s="1" t="str">
        <f aca="false">Wording_Ranks!B60</f>
        <v>HIV Infection (Occupational / Transfusion / Assault)</v>
      </c>
      <c r="C66" s="1" t="str">
        <f aca="false">Wording_Ranks!C60</f>
        <v>Infectious</v>
      </c>
      <c r="D66" s="1" t="str">
        <f aca="false">Wording_Ranks!D60</f>
        <v>Rare</v>
      </c>
      <c r="E66" s="1" t="str">
        <f aca="false">Wording_Ranks!F60</f>
        <v>Full</v>
      </c>
      <c r="F66" s="1" t="str">
        <f aca="false">Wording_Ranks!H60</f>
        <v>Full</v>
      </c>
      <c r="G66" s="1" t="str">
        <f aca="false">Wording_Ranks!J60</f>
        <v>Full</v>
      </c>
      <c r="H66" s="1" t="str">
        <f aca="false">Wording_Ranks!M60</f>
        <v>Full</v>
      </c>
      <c r="I66" s="1" t="str">
        <f aca="false">Wording_Ranks!O60</f>
        <v>Full</v>
      </c>
      <c r="J66" s="98" t="n">
        <f aca="false">IF(OR($E66="Not covered",$E66="Child-only"),0,IF($E66="Full",1,IF($E66="Ancillary",MAX(0.1,MIN(0.5,IF($AN$7="",0.5*$C$4,$AN$7)/$C$4)),MIN(0.5,IF($AN$7="",0.5*$C$4,$AN$7)/$C$4))))</f>
        <v>1</v>
      </c>
      <c r="K66" s="98" t="n">
        <f aca="false">IF(OR($F66="Not covered",$F66="Child-only"),0,IF($F66="Full",1,IF($AD66="Y",$AE66,IF($F66="Ancillary",MAX(0.1,MIN(0.5,IF($AO$7="",0.5*$C$4,$AO$7)/$C$4)),MIN(0.5,IF($AO$7="",0.5*$C$4,$AO$7)/$C$4)))))</f>
        <v>1</v>
      </c>
      <c r="L66" s="98" t="n">
        <f aca="false">IF(OR($G66="Not covered",$G66="Child-only"),0,IF($G66="Full",1,IF($G66="Ancillary",MAX(0.1,MIN(0.5,IF($AS66&lt;&gt;"",$AS66,IF($AP$7="",0.5*$C$4,$AP$7))/$C$4)),MIN(0.5,IF($AS66&lt;&gt;"",$AS66,IF($AP$7="",0.5*$C$4,$AP$7))/$C$4))))</f>
        <v>1</v>
      </c>
      <c r="M66" s="98" t="n">
        <f aca="false">IF(OR($H66="Not covered",$H66="Child-only"),0,IF($H66="Full",1,IF($H66="Ancillary",MAX(0.1,MIN(0.5,IF($AM66&lt;&gt;"",$AM66,IF($AQ$7="",0.5*$C$4,$AQ$7))/$C$4)),MIN(0.5,IF($AM66&lt;&gt;"",$AM66,IF($AQ$7="",0.5*$C$4,$AQ$7))/$C$4))))</f>
        <v>1</v>
      </c>
      <c r="N66" s="98" t="n">
        <f aca="false">IF(OR($I66="Not covered",$I66="Child-only"),0,IF($I66="Full",1,IF($I66="Ancillary",MAX(0.1,MIN(0.5,IF($AR$7="",0.5*$C$4,$AR$7)/$C$4)),MIN(0.5,IF($AR$7="",0.5*$C$4,$AR$7)/$C$4))))</f>
        <v>1</v>
      </c>
      <c r="P66" s="1" t="str">
        <f aca="false">IF(O66="","",1-EXP(-O66/100000))</f>
        <v/>
      </c>
      <c r="R66" s="1" t="s">
        <v>822</v>
      </c>
      <c r="S66" s="1" t="str">
        <f aca="false">IF($P66="","",$P66*J66*$C$4*$C$5)</f>
        <v/>
      </c>
      <c r="T66" s="1" t="str">
        <f aca="false">IF($P66="","",$P66*K66*$C$4*$C$5)</f>
        <v/>
      </c>
      <c r="U66" s="1" t="str">
        <f aca="false">IF($P66="","",$P66*L66*$C$4*$C$5)</f>
        <v/>
      </c>
      <c r="V66" s="1" t="str">
        <f aca="false">IF($P66="","",$P66*M66*$C$4*$C$5)</f>
        <v/>
      </c>
      <c r="W66" s="1" t="str">
        <f aca="false">IF($P66="","",$P66*N66*$C$4*$C$5)</f>
        <v/>
      </c>
      <c r="X66" s="1" t="str">
        <f aca="false">IF(S66="","",S66/$E$7)</f>
        <v/>
      </c>
      <c r="Y66" s="1" t="str">
        <f aca="false">IF(T66="","",T66/$F$7)</f>
        <v/>
      </c>
      <c r="Z66" s="1" t="str">
        <f aca="false">IF(U66="","",U66/$G$7)</f>
        <v/>
      </c>
      <c r="AA66" s="1" t="str">
        <f aca="false">IF(V66="","",V66/$H$7)</f>
        <v/>
      </c>
      <c r="AB66" s="1" t="str">
        <f aca="false">IF(W66="","",W66/$I$7)</f>
        <v/>
      </c>
      <c r="AC66" s="1" t="str">
        <f aca="false">IF(COUNTIF(X66:AB66,"&gt;="&amp;$C$6)&gt;0,"PROMOTE","")</f>
        <v/>
      </c>
      <c r="AD66" s="1" t="str">
        <f aca="false">IF(COUNTIF(Sources_06!$B$33:$B$73,A66)&gt;0,"Y","")</f>
        <v/>
      </c>
      <c r="AE66" s="1" t="str">
        <f aca="false">IF(AD66="Y",MIN(0.5,Sources_06!$D$11/$C$4),"")</f>
        <v/>
      </c>
    </row>
    <row r="67" customFormat="false" ht="15" hidden="false" customHeight="true" outlineLevel="0" collapsed="false">
      <c r="A67" s="1" t="n">
        <v>60</v>
      </c>
      <c r="B67" s="1" t="str">
        <f aca="false">Wording_Ranks!B61</f>
        <v>Necrotising Fasciitis</v>
      </c>
      <c r="C67" s="1" t="str">
        <f aca="false">Wording_Ranks!C61</f>
        <v>Infectious</v>
      </c>
      <c r="D67" s="1" t="str">
        <f aca="false">Wording_Ranks!D61</f>
        <v>Rare</v>
      </c>
      <c r="E67" s="1" t="str">
        <f aca="false">Wording_Ranks!F61</f>
        <v>Full</v>
      </c>
      <c r="F67" s="1" t="str">
        <f aca="false">Wording_Ranks!H61</f>
        <v>Full</v>
      </c>
      <c r="G67" s="1" t="str">
        <f aca="false">Wording_Ranks!J61</f>
        <v>Full</v>
      </c>
      <c r="H67" s="1" t="str">
        <f aca="false">Wording_Ranks!M61</f>
        <v>Full</v>
      </c>
      <c r="I67" s="1" t="str">
        <f aca="false">Wording_Ranks!O61</f>
        <v>Full</v>
      </c>
      <c r="J67" s="98" t="n">
        <f aca="false">IF(OR($E67="Not covered",$E67="Child-only"),0,IF($E67="Full",1,IF($E67="Ancillary",MAX(0.1,MIN(0.5,IF($AN$7="",0.5*$C$4,$AN$7)/$C$4)),MIN(0.5,IF($AN$7="",0.5*$C$4,$AN$7)/$C$4))))</f>
        <v>1</v>
      </c>
      <c r="K67" s="98" t="n">
        <f aca="false">IF(OR($F67="Not covered",$F67="Child-only"),0,IF($F67="Full",1,IF($AD67="Y",$AE67,IF($F67="Ancillary",MAX(0.1,MIN(0.5,IF($AO$7="",0.5*$C$4,$AO$7)/$C$4)),MIN(0.5,IF($AO$7="",0.5*$C$4,$AO$7)/$C$4)))))</f>
        <v>1</v>
      </c>
      <c r="L67" s="98" t="n">
        <f aca="false">IF(OR($G67="Not covered",$G67="Child-only"),0,IF($G67="Full",1,IF($G67="Ancillary",MAX(0.1,MIN(0.5,IF($AS67&lt;&gt;"",$AS67,IF($AP$7="",0.5*$C$4,$AP$7))/$C$4)),MIN(0.5,IF($AS67&lt;&gt;"",$AS67,IF($AP$7="",0.5*$C$4,$AP$7))/$C$4))))</f>
        <v>1</v>
      </c>
      <c r="M67" s="98" t="n">
        <f aca="false">IF(OR($H67="Not covered",$H67="Child-only"),0,IF($H67="Full",1,IF($H67="Ancillary",MAX(0.1,MIN(0.5,IF($AM67&lt;&gt;"",$AM67,IF($AQ$7="",0.5*$C$4,$AQ$7))/$C$4)),MIN(0.5,IF($AM67&lt;&gt;"",$AM67,IF($AQ$7="",0.5*$C$4,$AQ$7))/$C$4))))</f>
        <v>1</v>
      </c>
      <c r="N67" s="98" t="n">
        <f aca="false">IF(OR($I67="Not covered",$I67="Child-only"),0,IF($I67="Full",1,IF($I67="Ancillary",MAX(0.1,MIN(0.5,IF($AR$7="",0.5*$C$4,$AR$7)/$C$4)),MIN(0.5,IF($AR$7="",0.5*$C$4,$AR$7)/$C$4))))</f>
        <v>1</v>
      </c>
      <c r="P67" s="1" t="str">
        <f aca="false">IF(O67="","",1-EXP(-O67/100000))</f>
        <v/>
      </c>
      <c r="R67" s="1" t="s">
        <v>822</v>
      </c>
      <c r="S67" s="1" t="str">
        <f aca="false">IF($P67="","",$P67*J67*$C$4*$C$5)</f>
        <v/>
      </c>
      <c r="T67" s="1" t="str">
        <f aca="false">IF($P67="","",$P67*K67*$C$4*$C$5)</f>
        <v/>
      </c>
      <c r="U67" s="1" t="str">
        <f aca="false">IF($P67="","",$P67*L67*$C$4*$C$5)</f>
        <v/>
      </c>
      <c r="V67" s="1" t="str">
        <f aca="false">IF($P67="","",$P67*M67*$C$4*$C$5)</f>
        <v/>
      </c>
      <c r="W67" s="1" t="str">
        <f aca="false">IF($P67="","",$P67*N67*$C$4*$C$5)</f>
        <v/>
      </c>
      <c r="X67" s="1" t="str">
        <f aca="false">IF(S67="","",S67/$E$7)</f>
        <v/>
      </c>
      <c r="Y67" s="1" t="str">
        <f aca="false">IF(T67="","",T67/$F$7)</f>
        <v/>
      </c>
      <c r="Z67" s="1" t="str">
        <f aca="false">IF(U67="","",U67/$G$7)</f>
        <v/>
      </c>
      <c r="AA67" s="1" t="str">
        <f aca="false">IF(V67="","",V67/$H$7)</f>
        <v/>
      </c>
      <c r="AB67" s="1" t="str">
        <f aca="false">IF(W67="","",W67/$I$7)</f>
        <v/>
      </c>
      <c r="AC67" s="1" t="str">
        <f aca="false">IF(COUNTIF(X67:AB67,"&gt;="&amp;$C$6)&gt;0,"PROMOTE","")</f>
        <v/>
      </c>
      <c r="AD67" s="1" t="str">
        <f aca="false">IF(COUNTIF(Sources_06!$B$33:$B$73,A67)&gt;0,"Y","")</f>
        <v/>
      </c>
      <c r="AE67" s="1" t="str">
        <f aca="false">IF(AD67="Y",MIN(0.5,Sources_06!$D$11/$C$4),"")</f>
        <v/>
      </c>
    </row>
    <row r="68" customFormat="false" ht="15" hidden="false" customHeight="true" outlineLevel="0" collapsed="false">
      <c r="A68" s="1" t="n">
        <v>61</v>
      </c>
      <c r="B68" s="1" t="str">
        <f aca="false">Wording_Ranks!B62</f>
        <v>Severe Sepsis</v>
      </c>
      <c r="C68" s="1" t="str">
        <f aca="false">Wording_Ranks!C62</f>
        <v>Infectious</v>
      </c>
      <c r="D68" s="1" t="str">
        <f aca="false">Wording_Ranks!D62</f>
        <v>Low</v>
      </c>
      <c r="E68" s="1" t="str">
        <f aca="false">Wording_Ranks!F62</f>
        <v>Not covered</v>
      </c>
      <c r="F68" s="1" t="str">
        <f aca="false">Wording_Ranks!H62</f>
        <v>Not covered</v>
      </c>
      <c r="G68" s="1" t="str">
        <f aca="false">Wording_Ranks!J62</f>
        <v>Partial</v>
      </c>
      <c r="H68" s="1" t="str">
        <f aca="false">Wording_Ranks!M62</f>
        <v>Full</v>
      </c>
      <c r="I68" s="1" t="str">
        <f aca="false">Wording_Ranks!O62</f>
        <v>Not covered</v>
      </c>
      <c r="J68" s="98" t="n">
        <f aca="false">IF(OR($E68="Not covered",$E68="Child-only"),0,IF($E68="Full",1,IF($E68="Ancillary",MAX(0.1,MIN(0.5,IF($AN$7="",0.5*$C$4,$AN$7)/$C$4)),MIN(0.5,IF($AN$7="",0.5*$C$4,$AN$7)/$C$4))))</f>
        <v>0</v>
      </c>
      <c r="K68" s="98" t="n">
        <f aca="false">IF(OR($F68="Not covered",$F68="Child-only"),0,IF($F68="Full",1,IF($AD68="Y",$AE68,IF($F68="Ancillary",MAX(0.1,MIN(0.5,IF($AO$7="",0.5*$C$4,$AO$7)/$C$4)),MIN(0.5,IF($AO$7="",0.5*$C$4,$AO$7)/$C$4)))))</f>
        <v>0</v>
      </c>
      <c r="L68" s="98" t="n">
        <f aca="false">IF(OR($G68="Not covered",$G68="Child-only"),0,IF($G68="Full",1,IF($G68="Ancillary",MAX(0.1,MIN(0.5,IF($AS68&lt;&gt;"",$AS68,IF($AP$7="",0.5*$C$4,$AP$7))/$C$4)),MIN(0.5,IF($AS68&lt;&gt;"",$AS68,IF($AP$7="",0.5*$C$4,$AP$7))/$C$4))))</f>
        <v>0.093167701863354</v>
      </c>
      <c r="M68" s="98" t="n">
        <f aca="false">IF(OR($H68="Not covered",$H68="Child-only"),0,IF($H68="Full",1,IF($H68="Ancillary",MAX(0.1,MIN(0.5,IF($AM68&lt;&gt;"",$AM68,IF($AQ$7="",0.5*$C$4,$AQ$7))/$C$4)),MIN(0.5,IF($AM68&lt;&gt;"",$AM68,IF($AQ$7="",0.5*$C$4,$AQ$7))/$C$4))))</f>
        <v>1</v>
      </c>
      <c r="N68" s="98" t="n">
        <f aca="false">IF(OR($I68="Not covered",$I68="Child-only"),0,IF($I68="Full",1,IF($I68="Ancillary",MAX(0.1,MIN(0.5,IF($AR$7="",0.5*$C$4,$AR$7)/$C$4)),MIN(0.5,IF($AR$7="",0.5*$C$4,$AR$7)/$C$4))))</f>
        <v>0</v>
      </c>
      <c r="P68" s="1" t="str">
        <f aca="false">IF(O68="","",1-EXP(-O68/100000))</f>
        <v/>
      </c>
      <c r="R68" s="1" t="s">
        <v>822</v>
      </c>
      <c r="S68" s="1" t="str">
        <f aca="false">IF($P68="","",$P68*J68*$C$4*$C$5)</f>
        <v/>
      </c>
      <c r="T68" s="1" t="str">
        <f aca="false">IF($P68="","",$P68*K68*$C$4*$C$5)</f>
        <v/>
      </c>
      <c r="U68" s="1" t="str">
        <f aca="false">IF($P68="","",$P68*L68*$C$4*$C$5)</f>
        <v/>
      </c>
      <c r="V68" s="1" t="str">
        <f aca="false">IF($P68="","",$P68*M68*$C$4*$C$5)</f>
        <v/>
      </c>
      <c r="W68" s="1" t="str">
        <f aca="false">IF($P68="","",$P68*N68*$C$4*$C$5)</f>
        <v/>
      </c>
      <c r="X68" s="1" t="str">
        <f aca="false">IF(S68="","",S68/$E$7)</f>
        <v/>
      </c>
      <c r="Y68" s="1" t="str">
        <f aca="false">IF(T68="","",T68/$F$7)</f>
        <v/>
      </c>
      <c r="Z68" s="1" t="str">
        <f aca="false">IF(U68="","",U68/$G$7)</f>
        <v/>
      </c>
      <c r="AA68" s="1" t="str">
        <f aca="false">IF(V68="","",V68/$H$7)</f>
        <v/>
      </c>
      <c r="AB68" s="1" t="str">
        <f aca="false">IF(W68="","",W68/$I$7)</f>
        <v/>
      </c>
      <c r="AC68" s="1" t="str">
        <f aca="false">IF(COUNTIF(X68:AB68,"&gt;="&amp;$C$6)&gt;0,"PROMOTE","")</f>
        <v/>
      </c>
      <c r="AD68" s="1" t="str">
        <f aca="false">IF(COUNTIF(Sources_06!$B$33:$B$73,A68)&gt;0,"Y","")</f>
        <v/>
      </c>
      <c r="AE68" s="1" t="str">
        <f aca="false">IF(AD68="Y",MIN(0.5,Sources_06!$D$11/$C$4),"")</f>
        <v/>
      </c>
    </row>
    <row r="69" customFormat="false" ht="15" hidden="false" customHeight="true" outlineLevel="0" collapsed="false">
      <c r="A69" s="1" t="n">
        <v>62</v>
      </c>
      <c r="B69" s="1" t="str">
        <f aca="false">Wording_Ranks!B63</f>
        <v>Brain Injury Due to Anoxia or Hypoxia</v>
      </c>
      <c r="C69" s="1" t="str">
        <f aca="false">Wording_Ranks!C63</f>
        <v>Neurological</v>
      </c>
      <c r="D69" s="1" t="str">
        <f aca="false">Wording_Ranks!D63</f>
        <v>Rare</v>
      </c>
      <c r="E69" s="1" t="str">
        <f aca="false">Wording_Ranks!F63</f>
        <v>Full</v>
      </c>
      <c r="F69" s="1" t="str">
        <f aca="false">Wording_Ranks!H63</f>
        <v>Full</v>
      </c>
      <c r="G69" s="1" t="str">
        <f aca="false">Wording_Ranks!J63</f>
        <v>Full</v>
      </c>
      <c r="H69" s="1" t="str">
        <f aca="false">Wording_Ranks!M63</f>
        <v>Full</v>
      </c>
      <c r="I69" s="1" t="str">
        <f aca="false">Wording_Ranks!O63</f>
        <v>Full</v>
      </c>
      <c r="J69" s="98" t="n">
        <f aca="false">IF(OR($E69="Not covered",$E69="Child-only"),0,IF($E69="Full",1,IF($E69="Ancillary",MAX(0.1,MIN(0.5,IF($AN$7="",0.5*$C$4,$AN$7)/$C$4)),MIN(0.5,IF($AN$7="",0.5*$C$4,$AN$7)/$C$4))))</f>
        <v>1</v>
      </c>
      <c r="K69" s="98" t="n">
        <f aca="false">IF(OR($F69="Not covered",$F69="Child-only"),0,IF($F69="Full",1,IF($AD69="Y",$AE69,IF($F69="Ancillary",MAX(0.1,MIN(0.5,IF($AO$7="",0.5*$C$4,$AO$7)/$C$4)),MIN(0.5,IF($AO$7="",0.5*$C$4,$AO$7)/$C$4)))))</f>
        <v>1</v>
      </c>
      <c r="L69" s="98" t="n">
        <f aca="false">IF(OR($G69="Not covered",$G69="Child-only"),0,IF($G69="Full",1,IF($G69="Ancillary",MAX(0.1,MIN(0.5,IF($AS69&lt;&gt;"",$AS69,IF($AP$7="",0.5*$C$4,$AP$7))/$C$4)),MIN(0.5,IF($AS69&lt;&gt;"",$AS69,IF($AP$7="",0.5*$C$4,$AP$7))/$C$4))))</f>
        <v>1</v>
      </c>
      <c r="M69" s="98" t="n">
        <f aca="false">IF(OR($H69="Not covered",$H69="Child-only"),0,IF($H69="Full",1,IF($H69="Ancillary",MAX(0.1,MIN(0.5,IF($AM69&lt;&gt;"",$AM69,IF($AQ$7="",0.5*$C$4,$AQ$7))/$C$4)),MIN(0.5,IF($AM69&lt;&gt;"",$AM69,IF($AQ$7="",0.5*$C$4,$AQ$7))/$C$4))))</f>
        <v>1</v>
      </c>
      <c r="N69" s="98" t="n">
        <f aca="false">IF(OR($I69="Not covered",$I69="Child-only"),0,IF($I69="Full",1,IF($I69="Ancillary",MAX(0.1,MIN(0.5,IF($AR$7="",0.5*$C$4,$AR$7)/$C$4)),MIN(0.5,IF($AR$7="",0.5*$C$4,$AR$7)/$C$4))))</f>
        <v>1</v>
      </c>
      <c r="O69" s="1"/>
      <c r="P69" s="1" t="str">
        <f aca="false">IF(O69="","",1-EXP(-O69/100000))</f>
        <v/>
      </c>
      <c r="Q69" s="1"/>
      <c r="R69" s="1" t="s">
        <v>822</v>
      </c>
      <c r="S69" s="1" t="str">
        <f aca="false">IF($P69="","",$P69*J69*$C$4*$C$5)</f>
        <v/>
      </c>
      <c r="T69" s="1" t="str">
        <f aca="false">IF($P69="","",$P69*K69*$C$4*$C$5)</f>
        <v/>
      </c>
      <c r="U69" s="1" t="str">
        <f aca="false">IF($P69="","",$P69*L69*$C$4*$C$5)</f>
        <v/>
      </c>
      <c r="V69" s="1" t="str">
        <f aca="false">IF($P69="","",$P69*M69*$C$4*$C$5)</f>
        <v/>
      </c>
      <c r="W69" s="1" t="str">
        <f aca="false">IF($P69="","",$P69*N69*$C$4*$C$5)</f>
        <v/>
      </c>
      <c r="X69" s="1" t="str">
        <f aca="false">IF(S69="","",S69/$E$7)</f>
        <v/>
      </c>
      <c r="Y69" s="1" t="str">
        <f aca="false">IF(T69="","",T69/$F$7)</f>
        <v/>
      </c>
      <c r="Z69" s="1" t="str">
        <f aca="false">IF(U69="","",U69/$G$7)</f>
        <v/>
      </c>
      <c r="AA69" s="1" t="str">
        <f aca="false">IF(V69="","",V69/$H$7)</f>
        <v/>
      </c>
      <c r="AB69" s="1" t="str">
        <f aca="false">IF(W69="","",W69/$I$7)</f>
        <v/>
      </c>
      <c r="AC69" s="1" t="str">
        <f aca="false">IF(COUNTIF(X69:AB69,"&gt;="&amp;$C$6)&gt;0,"PROMOTE","")</f>
        <v/>
      </c>
      <c r="AD69" s="1" t="str">
        <f aca="false">IF(COUNTIF(Sources_06!$B$33:$B$73,A69)&gt;0,"Y","")</f>
        <v/>
      </c>
      <c r="AE69" s="1" t="str">
        <f aca="false">IF(AD69="Y",MIN(0.5,Sources_06!$D$11/$C$4),"")</f>
        <v/>
      </c>
      <c r="AF69" s="1"/>
      <c r="AG69" s="1"/>
      <c r="AH69" s="1"/>
    </row>
    <row r="70" customFormat="false" ht="15" hidden="false" customHeight="true" outlineLevel="0" collapsed="false">
      <c r="A70" s="1" t="n">
        <v>63</v>
      </c>
      <c r="B70" s="1" t="str">
        <f aca="false">Wording_Ranks!B64</f>
        <v>Cauda Equina Syndrome</v>
      </c>
      <c r="C70" s="1" t="str">
        <f aca="false">Wording_Ranks!C64</f>
        <v>Neurological</v>
      </c>
      <c r="D70" s="1" t="str">
        <f aca="false">Wording_Ranks!D64</f>
        <v>Rare</v>
      </c>
      <c r="E70" s="1" t="str">
        <f aca="false">Wording_Ranks!F64</f>
        <v>Not covered</v>
      </c>
      <c r="F70" s="1" t="str">
        <f aca="false">Wording_Ranks!H64</f>
        <v>Not covered</v>
      </c>
      <c r="G70" s="1" t="str">
        <f aca="false">Wording_Ranks!J64</f>
        <v>Full</v>
      </c>
      <c r="H70" s="1" t="str">
        <f aca="false">Wording_Ranks!M64</f>
        <v>Full</v>
      </c>
      <c r="I70" s="1" t="str">
        <f aca="false">Wording_Ranks!O64</f>
        <v>Not covered</v>
      </c>
      <c r="J70" s="98" t="n">
        <f aca="false">IF(OR($E70="Not covered",$E70="Child-only"),0,IF($E70="Full",1,IF($E70="Ancillary",MAX(0.1,MIN(0.5,IF($AN$7="",0.5*$C$4,$AN$7)/$C$4)),MIN(0.5,IF($AN$7="",0.5*$C$4,$AN$7)/$C$4))))</f>
        <v>0</v>
      </c>
      <c r="K70" s="98" t="n">
        <f aca="false">IF(OR($F70="Not covered",$F70="Child-only"),0,IF($F70="Full",1,IF($AD70="Y",$AE70,IF($F70="Ancillary",MAX(0.1,MIN(0.5,IF($AO$7="",0.5*$C$4,$AO$7)/$C$4)),MIN(0.5,IF($AO$7="",0.5*$C$4,$AO$7)/$C$4)))))</f>
        <v>0</v>
      </c>
      <c r="L70" s="98" t="n">
        <f aca="false">IF(OR($G70="Not covered",$G70="Child-only"),0,IF($G70="Full",1,IF($G70="Ancillary",MAX(0.1,MIN(0.5,IF($AS70&lt;&gt;"",$AS70,IF($AP$7="",0.5*$C$4,$AP$7))/$C$4)),MIN(0.5,IF($AS70&lt;&gt;"",$AS70,IF($AP$7="",0.5*$C$4,$AP$7))/$C$4))))</f>
        <v>1</v>
      </c>
      <c r="M70" s="98" t="n">
        <f aca="false">IF(OR($H70="Not covered",$H70="Child-only"),0,IF($H70="Full",1,IF($H70="Ancillary",MAX(0.1,MIN(0.5,IF($AM70&lt;&gt;"",$AM70,IF($AQ$7="",0.5*$C$4,$AQ$7))/$C$4)),MIN(0.5,IF($AM70&lt;&gt;"",$AM70,IF($AQ$7="",0.5*$C$4,$AQ$7))/$C$4))))</f>
        <v>1</v>
      </c>
      <c r="N70" s="98" t="n">
        <f aca="false">IF(OR($I70="Not covered",$I70="Child-only"),0,IF($I70="Full",1,IF($I70="Ancillary",MAX(0.1,MIN(0.5,IF($AR$7="",0.5*$C$4,$AR$7)/$C$4)),MIN(0.5,IF($AR$7="",0.5*$C$4,$AR$7)/$C$4))))</f>
        <v>0</v>
      </c>
      <c r="P70" s="1" t="str">
        <f aca="false">IF(O70="","",1-EXP(-O70/100000))</f>
        <v/>
      </c>
      <c r="R70" s="1" t="s">
        <v>822</v>
      </c>
      <c r="S70" s="1" t="str">
        <f aca="false">IF($P70="","",$P70*J70*$C$4*$C$5)</f>
        <v/>
      </c>
      <c r="T70" s="1" t="str">
        <f aca="false">IF($P70="","",$P70*K70*$C$4*$C$5)</f>
        <v/>
      </c>
      <c r="U70" s="1" t="str">
        <f aca="false">IF($P70="","",$P70*L70*$C$4*$C$5)</f>
        <v/>
      </c>
      <c r="V70" s="1" t="str">
        <f aca="false">IF($P70="","",$P70*M70*$C$4*$C$5)</f>
        <v/>
      </c>
      <c r="W70" s="1" t="str">
        <f aca="false">IF($P70="","",$P70*N70*$C$4*$C$5)</f>
        <v/>
      </c>
      <c r="X70" s="1" t="str">
        <f aca="false">IF(S70="","",S70/$E$7)</f>
        <v/>
      </c>
      <c r="Y70" s="1" t="str">
        <f aca="false">IF(T70="","",T70/$F$7)</f>
        <v/>
      </c>
      <c r="Z70" s="1" t="str">
        <f aca="false">IF(U70="","",U70/$G$7)</f>
        <v/>
      </c>
      <c r="AA70" s="1" t="str">
        <f aca="false">IF(V70="","",V70/$H$7)</f>
        <v/>
      </c>
      <c r="AB70" s="1" t="str">
        <f aca="false">IF(W70="","",W70/$I$7)</f>
        <v/>
      </c>
      <c r="AC70" s="1" t="str">
        <f aca="false">IF(COUNTIF(X70:AB70,"&gt;="&amp;$C$6)&gt;0,"PROMOTE","")</f>
        <v/>
      </c>
      <c r="AD70" s="1" t="str">
        <f aca="false">IF(COUNTIF(Sources_06!$B$33:$B$73,A70)&gt;0,"Y","")</f>
        <v/>
      </c>
      <c r="AE70" s="1" t="str">
        <f aca="false">IF(AD70="Y",MIN(0.5,Sources_06!$D$11/$C$4),"")</f>
        <v/>
      </c>
    </row>
    <row r="71" customFormat="false" ht="15" hidden="false" customHeight="true" outlineLevel="0" collapsed="false">
      <c r="A71" s="1" t="n">
        <v>64</v>
      </c>
      <c r="B71" s="1" t="str">
        <f aca="false">Wording_Ranks!B65</f>
        <v>Coma – Resulting in Permanent Symptoms</v>
      </c>
      <c r="C71" s="1" t="str">
        <f aca="false">Wording_Ranks!C65</f>
        <v>Neurological</v>
      </c>
      <c r="D71" s="1" t="str">
        <f aca="false">Wording_Ranks!D65</f>
        <v>Rare</v>
      </c>
      <c r="E71" s="1" t="str">
        <f aca="false">Wording_Ranks!F65</f>
        <v>Full</v>
      </c>
      <c r="F71" s="1" t="str">
        <f aca="false">Wording_Ranks!H65</f>
        <v>Full</v>
      </c>
      <c r="G71" s="1" t="str">
        <f aca="false">Wording_Ranks!J65</f>
        <v>Full</v>
      </c>
      <c r="H71" s="1" t="str">
        <f aca="false">Wording_Ranks!M65</f>
        <v>Full</v>
      </c>
      <c r="I71" s="1" t="str">
        <f aca="false">Wording_Ranks!O65</f>
        <v>Full</v>
      </c>
      <c r="J71" s="98" t="n">
        <f aca="false">IF(OR($E71="Not covered",$E71="Child-only"),0,IF($E71="Full",1,IF($E71="Ancillary",MAX(0.1,MIN(0.5,IF($AN$7="",0.5*$C$4,$AN$7)/$C$4)),MIN(0.5,IF($AN$7="",0.5*$C$4,$AN$7)/$C$4))))</f>
        <v>1</v>
      </c>
      <c r="K71" s="98" t="n">
        <f aca="false">IF(OR($F71="Not covered",$F71="Child-only"),0,IF($F71="Full",1,IF($AD71="Y",$AE71,IF($F71="Ancillary",MAX(0.1,MIN(0.5,IF($AO$7="",0.5*$C$4,$AO$7)/$C$4)),MIN(0.5,IF($AO$7="",0.5*$C$4,$AO$7)/$C$4)))))</f>
        <v>1</v>
      </c>
      <c r="L71" s="98" t="n">
        <f aca="false">IF(OR($G71="Not covered",$G71="Child-only"),0,IF($G71="Full",1,IF($G71="Ancillary",MAX(0.1,MIN(0.5,IF($AS71&lt;&gt;"",$AS71,IF($AP$7="",0.5*$C$4,$AP$7))/$C$4)),MIN(0.5,IF($AS71&lt;&gt;"",$AS71,IF($AP$7="",0.5*$C$4,$AP$7))/$C$4))))</f>
        <v>1</v>
      </c>
      <c r="M71" s="98" t="n">
        <f aca="false">IF(OR($H71="Not covered",$H71="Child-only"),0,IF($H71="Full",1,IF($H71="Ancillary",MAX(0.1,MIN(0.5,IF($AM71&lt;&gt;"",$AM71,IF($AQ$7="",0.5*$C$4,$AQ$7))/$C$4)),MIN(0.5,IF($AM71&lt;&gt;"",$AM71,IF($AQ$7="",0.5*$C$4,$AQ$7))/$C$4))))</f>
        <v>1</v>
      </c>
      <c r="N71" s="98" t="n">
        <f aca="false">IF(OR($I71="Not covered",$I71="Child-only"),0,IF($I71="Full",1,IF($I71="Ancillary",MAX(0.1,MIN(0.5,IF($AR$7="",0.5*$C$4,$AR$7)/$C$4)),MIN(0.5,IF($AR$7="",0.5*$C$4,$AR$7)/$C$4))))</f>
        <v>1</v>
      </c>
      <c r="P71" s="1" t="str">
        <f aca="false">IF(O71="","",1-EXP(-O71/100000))</f>
        <v/>
      </c>
      <c r="R71" s="1" t="s">
        <v>822</v>
      </c>
      <c r="S71" s="1" t="str">
        <f aca="false">IF($P71="","",$P71*J71*$C$4*$C$5)</f>
        <v/>
      </c>
      <c r="T71" s="1" t="str">
        <f aca="false">IF($P71="","",$P71*K71*$C$4*$C$5)</f>
        <v/>
      </c>
      <c r="U71" s="1" t="str">
        <f aca="false">IF($P71="","",$P71*L71*$C$4*$C$5)</f>
        <v/>
      </c>
      <c r="V71" s="1" t="str">
        <f aca="false">IF($P71="","",$P71*M71*$C$4*$C$5)</f>
        <v/>
      </c>
      <c r="W71" s="1" t="str">
        <f aca="false">IF($P71="","",$P71*N71*$C$4*$C$5)</f>
        <v/>
      </c>
      <c r="X71" s="1" t="str">
        <f aca="false">IF(S71="","",S71/$E$7)</f>
        <v/>
      </c>
      <c r="Y71" s="1" t="str">
        <f aca="false">IF(T71="","",T71/$F$7)</f>
        <v/>
      </c>
      <c r="Z71" s="1" t="str">
        <f aca="false">IF(U71="","",U71/$G$7)</f>
        <v/>
      </c>
      <c r="AA71" s="1" t="str">
        <f aca="false">IF(V71="","",V71/$H$7)</f>
        <v/>
      </c>
      <c r="AB71" s="1" t="str">
        <f aca="false">IF(W71="","",W71/$I$7)</f>
        <v/>
      </c>
      <c r="AC71" s="1" t="str">
        <f aca="false">IF(COUNTIF(X71:AB71,"&gt;="&amp;$C$6)&gt;0,"PROMOTE","")</f>
        <v/>
      </c>
      <c r="AD71" s="1" t="str">
        <f aca="false">IF(COUNTIF(Sources_06!$B$33:$B$73,A71)&gt;0,"Y","")</f>
        <v/>
      </c>
      <c r="AE71" s="1" t="str">
        <f aca="false">IF(AD71="Y",MIN(0.5,Sources_06!$D$11/$C$4),"")</f>
        <v/>
      </c>
    </row>
    <row r="72" customFormat="false" ht="15" hidden="false" customHeight="true" outlineLevel="0" collapsed="false">
      <c r="A72" s="1" t="n">
        <v>65</v>
      </c>
      <c r="B72" s="1" t="str">
        <f aca="false">Wording_Ranks!B66</f>
        <v>Creutzfeldt-Jakob Disease (CJD)</v>
      </c>
      <c r="C72" s="1" t="str">
        <f aca="false">Wording_Ranks!C66</f>
        <v>Neurological</v>
      </c>
      <c r="D72" s="1" t="str">
        <f aca="false">Wording_Ranks!D66</f>
        <v>Rare</v>
      </c>
      <c r="E72" s="1" t="str">
        <f aca="false">Wording_Ranks!F66</f>
        <v>Full</v>
      </c>
      <c r="F72" s="1" t="str">
        <f aca="false">Wording_Ranks!H66</f>
        <v>Full</v>
      </c>
      <c r="G72" s="1" t="str">
        <f aca="false">Wording_Ranks!J66</f>
        <v>Full</v>
      </c>
      <c r="H72" s="1" t="str">
        <f aca="false">Wording_Ranks!M66</f>
        <v>Full</v>
      </c>
      <c r="I72" s="1" t="str">
        <f aca="false">Wording_Ranks!O66</f>
        <v>Full</v>
      </c>
      <c r="J72" s="98" t="n">
        <f aca="false">IF(OR($E72="Not covered",$E72="Child-only"),0,IF($E72="Full",1,IF($E72="Ancillary",MAX(0.1,MIN(0.5,IF($AN$7="",0.5*$C$4,$AN$7)/$C$4)),MIN(0.5,IF($AN$7="",0.5*$C$4,$AN$7)/$C$4))))</f>
        <v>1</v>
      </c>
      <c r="K72" s="98" t="n">
        <f aca="false">IF(OR($F72="Not covered",$F72="Child-only"),0,IF($F72="Full",1,IF($AD72="Y",$AE72,IF($F72="Ancillary",MAX(0.1,MIN(0.5,IF($AO$7="",0.5*$C$4,$AO$7)/$C$4)),MIN(0.5,IF($AO$7="",0.5*$C$4,$AO$7)/$C$4)))))</f>
        <v>1</v>
      </c>
      <c r="L72" s="98" t="n">
        <f aca="false">IF(OR($G72="Not covered",$G72="Child-only"),0,IF($G72="Full",1,IF($G72="Ancillary",MAX(0.1,MIN(0.5,IF($AS72&lt;&gt;"",$AS72,IF($AP$7="",0.5*$C$4,$AP$7))/$C$4)),MIN(0.5,IF($AS72&lt;&gt;"",$AS72,IF($AP$7="",0.5*$C$4,$AP$7))/$C$4))))</f>
        <v>1</v>
      </c>
      <c r="M72" s="98" t="n">
        <f aca="false">IF(OR($H72="Not covered",$H72="Child-only"),0,IF($H72="Full",1,IF($H72="Ancillary",MAX(0.1,MIN(0.5,IF($AM72&lt;&gt;"",$AM72,IF($AQ$7="",0.5*$C$4,$AQ$7))/$C$4)),MIN(0.5,IF($AM72&lt;&gt;"",$AM72,IF($AQ$7="",0.5*$C$4,$AQ$7))/$C$4))))</f>
        <v>1</v>
      </c>
      <c r="N72" s="98" t="n">
        <f aca="false">IF(OR($I72="Not covered",$I72="Child-only"),0,IF($I72="Full",1,IF($I72="Ancillary",MAX(0.1,MIN(0.5,IF($AR$7="",0.5*$C$4,$AR$7)/$C$4)),MIN(0.5,IF($AR$7="",0.5*$C$4,$AR$7)/$C$4))))</f>
        <v>1</v>
      </c>
      <c r="P72" s="1" t="str">
        <f aca="false">IF(O72="","",1-EXP(-O72/100000))</f>
        <v/>
      </c>
      <c r="R72" s="1" t="s">
        <v>822</v>
      </c>
      <c r="S72" s="1" t="str">
        <f aca="false">IF($P72="","",$P72*J72*$C$4*$C$5)</f>
        <v/>
      </c>
      <c r="T72" s="1" t="str">
        <f aca="false">IF($P72="","",$P72*K72*$C$4*$C$5)</f>
        <v/>
      </c>
      <c r="U72" s="1" t="str">
        <f aca="false">IF($P72="","",$P72*L72*$C$4*$C$5)</f>
        <v/>
      </c>
      <c r="V72" s="1" t="str">
        <f aca="false">IF($P72="","",$P72*M72*$C$4*$C$5)</f>
        <v/>
      </c>
      <c r="W72" s="1" t="str">
        <f aca="false">IF($P72="","",$P72*N72*$C$4*$C$5)</f>
        <v/>
      </c>
      <c r="X72" s="1" t="str">
        <f aca="false">IF(S72="","",S72/$E$7)</f>
        <v/>
      </c>
      <c r="Y72" s="1" t="str">
        <f aca="false">IF(T72="","",T72/$F$7)</f>
        <v/>
      </c>
      <c r="Z72" s="1" t="str">
        <f aca="false">IF(U72="","",U72/$G$7)</f>
        <v/>
      </c>
      <c r="AA72" s="1" t="str">
        <f aca="false">IF(V72="","",V72/$H$7)</f>
        <v/>
      </c>
      <c r="AB72" s="1" t="str">
        <f aca="false">IF(W72="","",W72/$I$7)</f>
        <v/>
      </c>
      <c r="AC72" s="1" t="str">
        <f aca="false">IF(COUNTIF(X72:AB72,"&gt;="&amp;$C$6)&gt;0,"PROMOTE","")</f>
        <v/>
      </c>
      <c r="AD72" s="1" t="str">
        <f aca="false">IF(COUNTIF(Sources_06!$B$33:$B$73,A72)&gt;0,"Y","")</f>
        <v/>
      </c>
      <c r="AE72" s="1" t="str">
        <f aca="false">IF(AD72="Y",MIN(0.5,Sources_06!$D$11/$C$4),"")</f>
        <v/>
      </c>
    </row>
    <row r="73" customFormat="false" ht="15" hidden="false" customHeight="true" outlineLevel="0" collapsed="false">
      <c r="A73" s="1" t="n">
        <v>66</v>
      </c>
      <c r="B73" s="1" t="str">
        <f aca="false">Wording_Ranks!B67</f>
        <v>Drug-Resistant Epilepsy</v>
      </c>
      <c r="C73" s="1" t="str">
        <f aca="false">Wording_Ranks!C67</f>
        <v>Neurological</v>
      </c>
      <c r="D73" s="1" t="str">
        <f aca="false">Wording_Ranks!D67</f>
        <v>Low</v>
      </c>
      <c r="E73" s="1" t="str">
        <f aca="false">Wording_Ranks!F67</f>
        <v>Not covered</v>
      </c>
      <c r="F73" s="1" t="str">
        <f aca="false">Wording_Ranks!H67</f>
        <v>Not covered</v>
      </c>
      <c r="G73" s="1" t="str">
        <f aca="false">Wording_Ranks!J67</f>
        <v>Not covered</v>
      </c>
      <c r="H73" s="1" t="str">
        <f aca="false">Wording_Ranks!M67</f>
        <v>Full</v>
      </c>
      <c r="I73" s="1" t="str">
        <f aca="false">Wording_Ranks!O67</f>
        <v>Not covered</v>
      </c>
      <c r="J73" s="98" t="n">
        <f aca="false">IF(OR($E73="Not covered",$E73="Child-only"),0,IF($E73="Full",1,IF($E73="Ancillary",MAX(0.1,MIN(0.5,IF($AN$7="",0.5*$C$4,$AN$7)/$C$4)),MIN(0.5,IF($AN$7="",0.5*$C$4,$AN$7)/$C$4))))</f>
        <v>0</v>
      </c>
      <c r="K73" s="98" t="n">
        <f aca="false">IF(OR($F73="Not covered",$F73="Child-only"),0,IF($F73="Full",1,IF($AD73="Y",$AE73,IF($F73="Ancillary",MAX(0.1,MIN(0.5,IF($AO$7="",0.5*$C$4,$AO$7)/$C$4)),MIN(0.5,IF($AO$7="",0.5*$C$4,$AO$7)/$C$4)))))</f>
        <v>0</v>
      </c>
      <c r="L73" s="98" t="n">
        <f aca="false">IF(OR($G73="Not covered",$G73="Child-only"),0,IF($G73="Full",1,IF($G73="Ancillary",MAX(0.1,MIN(0.5,IF($AS73&lt;&gt;"",$AS73,IF($AP$7="",0.5*$C$4,$AP$7))/$C$4)),MIN(0.5,IF($AS73&lt;&gt;"",$AS73,IF($AP$7="",0.5*$C$4,$AP$7))/$C$4))))</f>
        <v>0</v>
      </c>
      <c r="M73" s="98" t="n">
        <f aca="false">IF(OR($H73="Not covered",$H73="Child-only"),0,IF($H73="Full",1,IF($H73="Ancillary",MAX(0.1,MIN(0.5,IF($AM73&lt;&gt;"",$AM73,IF($AQ$7="",0.5*$C$4,$AQ$7))/$C$4)),MIN(0.5,IF($AM73&lt;&gt;"",$AM73,IF($AQ$7="",0.5*$C$4,$AQ$7))/$C$4))))</f>
        <v>1</v>
      </c>
      <c r="N73" s="98" t="n">
        <f aca="false">IF(OR($I73="Not covered",$I73="Child-only"),0,IF($I73="Full",1,IF($I73="Ancillary",MAX(0.1,MIN(0.5,IF($AR$7="",0.5*$C$4,$AR$7)/$C$4)),MIN(0.5,IF($AR$7="",0.5*$C$4,$AR$7)/$C$4))))</f>
        <v>0</v>
      </c>
      <c r="P73" s="1" t="str">
        <f aca="false">IF(O73="","",1-EXP(-O73/100000))</f>
        <v/>
      </c>
      <c r="R73" s="1" t="s">
        <v>822</v>
      </c>
      <c r="S73" s="1" t="str">
        <f aca="false">IF($P73="","",$P73*J73*$C$4*$C$5)</f>
        <v/>
      </c>
      <c r="T73" s="1" t="str">
        <f aca="false">IF($P73="","",$P73*K73*$C$4*$C$5)</f>
        <v/>
      </c>
      <c r="U73" s="1" t="str">
        <f aca="false">IF($P73="","",$P73*L73*$C$4*$C$5)</f>
        <v/>
      </c>
      <c r="V73" s="1" t="str">
        <f aca="false">IF($P73="","",$P73*M73*$C$4*$C$5)</f>
        <v/>
      </c>
      <c r="W73" s="1" t="str">
        <f aca="false">IF($P73="","",$P73*N73*$C$4*$C$5)</f>
        <v/>
      </c>
      <c r="X73" s="1" t="str">
        <f aca="false">IF(S73="","",S73/$E$7)</f>
        <v/>
      </c>
      <c r="Y73" s="1" t="str">
        <f aca="false">IF(T73="","",T73/$F$7)</f>
        <v/>
      </c>
      <c r="Z73" s="1" t="str">
        <f aca="false">IF(U73="","",U73/$G$7)</f>
        <v/>
      </c>
      <c r="AA73" s="1" t="str">
        <f aca="false">IF(V73="","",V73/$H$7)</f>
        <v/>
      </c>
      <c r="AB73" s="1" t="str">
        <f aca="false">IF(W73="","",W73/$I$7)</f>
        <v/>
      </c>
      <c r="AC73" s="1" t="str">
        <f aca="false">IF(COUNTIF(X73:AB73,"&gt;="&amp;$C$6)&gt;0,"PROMOTE","")</f>
        <v/>
      </c>
      <c r="AD73" s="1" t="str">
        <f aca="false">IF(COUNTIF(Sources_06!$B$33:$B$73,A73)&gt;0,"Y","")</f>
        <v/>
      </c>
      <c r="AE73" s="1" t="str">
        <f aca="false">IF(AD73="Y",MIN(0.5,Sources_06!$D$11/$C$4),"")</f>
        <v/>
      </c>
    </row>
    <row r="74" customFormat="false" ht="15" hidden="false" customHeight="true" outlineLevel="0" collapsed="false">
      <c r="A74" s="1" t="n">
        <v>67</v>
      </c>
      <c r="B74" s="1" t="str">
        <f aca="false">Wording_Ranks!B68</f>
        <v>Guillain-Barré Syndrome</v>
      </c>
      <c r="C74" s="1" t="str">
        <f aca="false">Wording_Ranks!C68</f>
        <v>Neurological</v>
      </c>
      <c r="D74" s="1" t="str">
        <f aca="false">Wording_Ranks!D68</f>
        <v>Low</v>
      </c>
      <c r="E74" s="1" t="str">
        <f aca="false">Wording_Ranks!F68</f>
        <v>Not covered</v>
      </c>
      <c r="F74" s="1" t="str">
        <f aca="false">Wording_Ranks!H68</f>
        <v>Not covered</v>
      </c>
      <c r="G74" s="1" t="str">
        <f aca="false">Wording_Ranks!J68</f>
        <v>Not covered</v>
      </c>
      <c r="H74" s="1" t="str">
        <f aca="false">Wording_Ranks!M68</f>
        <v>Partial</v>
      </c>
      <c r="I74" s="1" t="str">
        <f aca="false">Wording_Ranks!O68</f>
        <v>Not covered</v>
      </c>
      <c r="J74" s="98" t="n">
        <f aca="false">IF(OR($E74="Not covered",$E74="Child-only"),0,IF($E74="Full",1,IF($E74="Ancillary",MAX(0.1,MIN(0.5,IF($AN$7="",0.5*$C$4,$AN$7)/$C$4)),MIN(0.5,IF($AN$7="",0.5*$C$4,$AN$7)/$C$4))))</f>
        <v>0</v>
      </c>
      <c r="K74" s="98" t="n">
        <f aca="false">IF(OR($F74="Not covered",$F74="Child-only"),0,IF($F74="Full",1,IF($AD74="Y",$AE74,IF($F74="Ancillary",MAX(0.1,MIN(0.5,IF($AO$7="",0.5*$C$4,$AO$7)/$C$4)),MIN(0.5,IF($AO$7="",0.5*$C$4,$AO$7)/$C$4)))))</f>
        <v>0</v>
      </c>
      <c r="L74" s="98" t="n">
        <f aca="false">IF(OR($G74="Not covered",$G74="Child-only"),0,IF($G74="Full",1,IF($G74="Ancillary",MAX(0.1,MIN(0.5,IF($AS74&lt;&gt;"",$AS74,IF($AP$7="",0.5*$C$4,$AP$7))/$C$4)),MIN(0.5,IF($AS74&lt;&gt;"",$AS74,IF($AP$7="",0.5*$C$4,$AP$7))/$C$4))))</f>
        <v>0</v>
      </c>
      <c r="M74" s="98" t="n">
        <f aca="false">IF(OR($H74="Not covered",$H74="Child-only"),0,IF($H74="Full",1,IF($H74="Ancillary",MAX(0.1,MIN(0.5,IF($AM74&lt;&gt;"",$AM74,IF($AQ$7="",0.5*$C$4,$AQ$7))/$C$4)),MIN(0.5,IF($AM74&lt;&gt;"",$AM74,IF($AQ$7="",0.5*$C$4,$AQ$7))/$C$4))))</f>
        <v>0.093167701863354</v>
      </c>
      <c r="N74" s="98" t="n">
        <f aca="false">IF(OR($I74="Not covered",$I74="Child-only"),0,IF($I74="Full",1,IF($I74="Ancillary",MAX(0.1,MIN(0.5,IF($AR$7="",0.5*$C$4,$AR$7)/$C$4)),MIN(0.5,IF($AR$7="",0.5*$C$4,$AR$7)/$C$4))))</f>
        <v>0</v>
      </c>
      <c r="P74" s="1" t="str">
        <f aca="false">IF(O74="","",1-EXP(-O74/100000))</f>
        <v/>
      </c>
      <c r="R74" s="1" t="s">
        <v>822</v>
      </c>
      <c r="S74" s="1" t="str">
        <f aca="false">IF($P74="","",$P74*J74*$C$4*$C$5)</f>
        <v/>
      </c>
      <c r="T74" s="1" t="str">
        <f aca="false">IF($P74="","",$P74*K74*$C$4*$C$5)</f>
        <v/>
      </c>
      <c r="U74" s="1" t="str">
        <f aca="false">IF($P74="","",$P74*L74*$C$4*$C$5)</f>
        <v/>
      </c>
      <c r="V74" s="1" t="str">
        <f aca="false">IF($P74="","",$P74*M74*$C$4*$C$5)</f>
        <v/>
      </c>
      <c r="W74" s="1" t="str">
        <f aca="false">IF($P74="","",$P74*N74*$C$4*$C$5)</f>
        <v/>
      </c>
      <c r="X74" s="1" t="str">
        <f aca="false">IF(S74="","",S74/$E$7)</f>
        <v/>
      </c>
      <c r="Y74" s="1" t="str">
        <f aca="false">IF(T74="","",T74/$F$7)</f>
        <v/>
      </c>
      <c r="Z74" s="1" t="str">
        <f aca="false">IF(U74="","",U74/$G$7)</f>
        <v/>
      </c>
      <c r="AA74" s="1" t="str">
        <f aca="false">IF(V74="","",V74/$H$7)</f>
        <v/>
      </c>
      <c r="AB74" s="1" t="str">
        <f aca="false">IF(W74="","",W74/$I$7)</f>
        <v/>
      </c>
      <c r="AC74" s="1" t="str">
        <f aca="false">IF(COUNTIF(X74:AB74,"&gt;="&amp;$C$6)&gt;0,"PROMOTE","")</f>
        <v/>
      </c>
      <c r="AD74" s="1" t="str">
        <f aca="false">IF(COUNTIF(Sources_06!$B$33:$B$73,A74)&gt;0,"Y","")</f>
        <v/>
      </c>
      <c r="AE74" s="1" t="str">
        <f aca="false">IF(AD74="Y",MIN(0.5,Sources_06!$D$11/$C$4),"")</f>
        <v/>
      </c>
    </row>
    <row r="75" customFormat="false" ht="15" hidden="false" customHeight="true" outlineLevel="0" collapsed="false">
      <c r="A75" s="1" t="n">
        <v>68</v>
      </c>
      <c r="B75" s="1" t="str">
        <f aca="false">Wording_Ranks!B69</f>
        <v>Motor Neurone Disease – Resulting in Permanent Symptoms</v>
      </c>
      <c r="C75" s="1" t="str">
        <f aca="false">Wording_Ranks!C69</f>
        <v>Neurological</v>
      </c>
      <c r="D75" s="1" t="str">
        <f aca="false">Wording_Ranks!D69</f>
        <v>Rare</v>
      </c>
      <c r="E75" s="1" t="str">
        <f aca="false">Wording_Ranks!F69</f>
        <v>Full</v>
      </c>
      <c r="F75" s="1" t="str">
        <f aca="false">Wording_Ranks!H69</f>
        <v>Full</v>
      </c>
      <c r="G75" s="1" t="str">
        <f aca="false">Wording_Ranks!J69</f>
        <v>Full</v>
      </c>
      <c r="H75" s="1" t="str">
        <f aca="false">Wording_Ranks!M69</f>
        <v>Full</v>
      </c>
      <c r="I75" s="1" t="str">
        <f aca="false">Wording_Ranks!O69</f>
        <v>Full</v>
      </c>
      <c r="J75" s="98" t="n">
        <f aca="false">IF(OR($E75="Not covered",$E75="Child-only"),0,IF($E75="Full",1,IF($E75="Ancillary",MAX(0.1,MIN(0.5,IF($AN$7="",0.5*$C$4,$AN$7)/$C$4)),MIN(0.5,IF($AN$7="",0.5*$C$4,$AN$7)/$C$4))))</f>
        <v>1</v>
      </c>
      <c r="K75" s="98" t="n">
        <f aca="false">IF(OR($F75="Not covered",$F75="Child-only"),0,IF($F75="Full",1,IF($AD75="Y",$AE75,IF($F75="Ancillary",MAX(0.1,MIN(0.5,IF($AO$7="",0.5*$C$4,$AO$7)/$C$4)),MIN(0.5,IF($AO$7="",0.5*$C$4,$AO$7)/$C$4)))))</f>
        <v>1</v>
      </c>
      <c r="L75" s="98" t="n">
        <f aca="false">IF(OR($G75="Not covered",$G75="Child-only"),0,IF($G75="Full",1,IF($G75="Ancillary",MAX(0.1,MIN(0.5,IF($AS75&lt;&gt;"",$AS75,IF($AP$7="",0.5*$C$4,$AP$7))/$C$4)),MIN(0.5,IF($AS75&lt;&gt;"",$AS75,IF($AP$7="",0.5*$C$4,$AP$7))/$C$4))))</f>
        <v>1</v>
      </c>
      <c r="M75" s="98" t="n">
        <f aca="false">IF(OR($H75="Not covered",$H75="Child-only"),0,IF($H75="Full",1,IF($H75="Ancillary",MAX(0.1,MIN(0.5,IF($AM75&lt;&gt;"",$AM75,IF($AQ$7="",0.5*$C$4,$AQ$7))/$C$4)),MIN(0.5,IF($AM75&lt;&gt;"",$AM75,IF($AQ$7="",0.5*$C$4,$AQ$7))/$C$4))))</f>
        <v>1</v>
      </c>
      <c r="N75" s="98" t="n">
        <f aca="false">IF(OR($I75="Not covered",$I75="Child-only"),0,IF($I75="Full",1,IF($I75="Ancillary",MAX(0.1,MIN(0.5,IF($AR$7="",0.5*$C$4,$AR$7)/$C$4)),MIN(0.5,IF($AR$7="",0.5*$C$4,$AR$7)/$C$4))))</f>
        <v>1</v>
      </c>
      <c r="P75" s="1" t="str">
        <f aca="false">IF(O75="","",1-EXP(-O75/100000))</f>
        <v/>
      </c>
      <c r="R75" s="1" t="s">
        <v>822</v>
      </c>
      <c r="S75" s="1" t="str">
        <f aca="false">IF($P75="","",$P75*J75*$C$4*$C$5)</f>
        <v/>
      </c>
      <c r="T75" s="1" t="str">
        <f aca="false">IF($P75="","",$P75*K75*$C$4*$C$5)</f>
        <v/>
      </c>
      <c r="U75" s="1" t="str">
        <f aca="false">IF($P75="","",$P75*L75*$C$4*$C$5)</f>
        <v/>
      </c>
      <c r="V75" s="1" t="str">
        <f aca="false">IF($P75="","",$P75*M75*$C$4*$C$5)</f>
        <v/>
      </c>
      <c r="W75" s="1" t="str">
        <f aca="false">IF($P75="","",$P75*N75*$C$4*$C$5)</f>
        <v/>
      </c>
      <c r="X75" s="1" t="str">
        <f aca="false">IF(S75="","",S75/$E$7)</f>
        <v/>
      </c>
      <c r="Y75" s="1" t="str">
        <f aca="false">IF(T75="","",T75/$F$7)</f>
        <v/>
      </c>
      <c r="Z75" s="1" t="str">
        <f aca="false">IF(U75="","",U75/$G$7)</f>
        <v/>
      </c>
      <c r="AA75" s="1" t="str">
        <f aca="false">IF(V75="","",V75/$H$7)</f>
        <v/>
      </c>
      <c r="AB75" s="1" t="str">
        <f aca="false">IF(W75="","",W75/$I$7)</f>
        <v/>
      </c>
      <c r="AC75" s="1" t="str">
        <f aca="false">IF(COUNTIF(X75:AB75,"&gt;="&amp;$C$6)&gt;0,"PROMOTE","")</f>
        <v/>
      </c>
      <c r="AD75" s="1" t="str">
        <f aca="false">IF(COUNTIF(Sources_06!$B$33:$B$73,A75)&gt;0,"Y","")</f>
        <v/>
      </c>
      <c r="AE75" s="1" t="str">
        <f aca="false">IF(AD75="Y",MIN(0.5,Sources_06!$D$11/$C$4),"")</f>
        <v/>
      </c>
    </row>
    <row r="76" customFormat="false" ht="15" hidden="false" customHeight="true" outlineLevel="0" collapsed="false">
      <c r="A76" s="1" t="n">
        <v>70</v>
      </c>
      <c r="B76" s="1" t="str">
        <f aca="false">Wording_Ranks!B71</f>
        <v>Multiple System Atrophy</v>
      </c>
      <c r="C76" s="1" t="str">
        <f aca="false">Wording_Ranks!C71</f>
        <v>Neurological</v>
      </c>
      <c r="D76" s="1" t="str">
        <f aca="false">Wording_Ranks!D71</f>
        <v>Rare</v>
      </c>
      <c r="E76" s="1" t="str">
        <f aca="false">Wording_Ranks!F71</f>
        <v>Full</v>
      </c>
      <c r="F76" s="1" t="str">
        <f aca="false">Wording_Ranks!H71</f>
        <v>Not covered</v>
      </c>
      <c r="G76" s="1" t="str">
        <f aca="false">Wording_Ranks!J71</f>
        <v>Full</v>
      </c>
      <c r="H76" s="1" t="str">
        <f aca="false">Wording_Ranks!M71</f>
        <v>Not covered</v>
      </c>
      <c r="I76" s="1" t="str">
        <f aca="false">Wording_Ranks!O71</f>
        <v>Not covered</v>
      </c>
      <c r="J76" s="98" t="n">
        <f aca="false">IF(OR($E76="Not covered",$E76="Child-only"),0,IF($E76="Full",1,IF($E76="Ancillary",MAX(0.1,MIN(0.5,IF($AN$7="",0.5*$C$4,$AN$7)/$C$4)),MIN(0.5,IF($AN$7="",0.5*$C$4,$AN$7)/$C$4))))</f>
        <v>1</v>
      </c>
      <c r="K76" s="98" t="n">
        <f aca="false">IF(OR($F76="Not covered",$F76="Child-only"),0,IF($F76="Full",1,IF($AD76="Y",$AE76,IF($F76="Ancillary",MAX(0.1,MIN(0.5,IF($AO$7="",0.5*$C$4,$AO$7)/$C$4)),MIN(0.5,IF($AO$7="",0.5*$C$4,$AO$7)/$C$4)))))</f>
        <v>0</v>
      </c>
      <c r="L76" s="98" t="n">
        <f aca="false">IF(OR($G76="Not covered",$G76="Child-only"),0,IF($G76="Full",1,IF($G76="Ancillary",MAX(0.1,MIN(0.5,IF($AS76&lt;&gt;"",$AS76,IF($AP$7="",0.5*$C$4,$AP$7))/$C$4)),MIN(0.5,IF($AS76&lt;&gt;"",$AS76,IF($AP$7="",0.5*$C$4,$AP$7))/$C$4))))</f>
        <v>1</v>
      </c>
      <c r="M76" s="98" t="n">
        <f aca="false">IF(OR($H76="Not covered",$H76="Child-only"),0,IF($H76="Full",1,IF($H76="Ancillary",MAX(0.1,MIN(0.5,IF($AM76&lt;&gt;"",$AM76,IF($AQ$7="",0.5*$C$4,$AQ$7))/$C$4)),MIN(0.5,IF($AM76&lt;&gt;"",$AM76,IF($AQ$7="",0.5*$C$4,$AQ$7))/$C$4))))</f>
        <v>0</v>
      </c>
      <c r="N76" s="98" t="n">
        <f aca="false">IF(OR($I76="Not covered",$I76="Child-only"),0,IF($I76="Full",1,IF($I76="Ancillary",MAX(0.1,MIN(0.5,IF($AR$7="",0.5*$C$4,$AR$7)/$C$4)),MIN(0.5,IF($AR$7="",0.5*$C$4,$AR$7)/$C$4))))</f>
        <v>0</v>
      </c>
      <c r="P76" s="1" t="str">
        <f aca="false">IF(O76="","",1-EXP(-O76/100000))</f>
        <v/>
      </c>
      <c r="R76" s="1" t="s">
        <v>822</v>
      </c>
      <c r="S76" s="1" t="str">
        <f aca="false">IF($P76="","",$P76*J76*$C$4*$C$5)</f>
        <v/>
      </c>
      <c r="T76" s="1" t="str">
        <f aca="false">IF($P76="","",$P76*K76*$C$4*$C$5)</f>
        <v/>
      </c>
      <c r="U76" s="1" t="str">
        <f aca="false">IF($P76="","",$P76*L76*$C$4*$C$5)</f>
        <v/>
      </c>
      <c r="V76" s="1" t="str">
        <f aca="false">IF($P76="","",$P76*M76*$C$4*$C$5)</f>
        <v/>
      </c>
      <c r="W76" s="1" t="str">
        <f aca="false">IF($P76="","",$P76*N76*$C$4*$C$5)</f>
        <v/>
      </c>
      <c r="X76" s="1" t="str">
        <f aca="false">IF(S76="","",S76/$E$7)</f>
        <v/>
      </c>
      <c r="Y76" s="1" t="str">
        <f aca="false">IF(T76="","",T76/$F$7)</f>
        <v/>
      </c>
      <c r="Z76" s="1" t="str">
        <f aca="false">IF(U76="","",U76/$G$7)</f>
        <v/>
      </c>
      <c r="AA76" s="1" t="str">
        <f aca="false">IF(V76="","",V76/$H$7)</f>
        <v/>
      </c>
      <c r="AB76" s="1" t="str">
        <f aca="false">IF(W76="","",W76/$I$7)</f>
        <v/>
      </c>
      <c r="AC76" s="1" t="str">
        <f aca="false">IF(COUNTIF(X76:AB76,"&gt;="&amp;$C$6)&gt;0,"PROMOTE","")</f>
        <v/>
      </c>
      <c r="AD76" s="1" t="str">
        <f aca="false">IF(COUNTIF(Sources_06!$B$33:$B$73,A76)&gt;0,"Y","")</f>
        <v/>
      </c>
      <c r="AE76" s="1" t="str">
        <f aca="false">IF(AD76="Y",MIN(0.5,Sources_06!$D$11/$C$4),"")</f>
        <v/>
      </c>
    </row>
    <row r="77" customFormat="false" ht="15" hidden="false" customHeight="true" outlineLevel="0" collapsed="false">
      <c r="A77" s="1" t="n">
        <v>71</v>
      </c>
      <c r="B77" s="1" t="str">
        <f aca="false">Wording_Ranks!B72</f>
        <v>Muscular Dystrophy</v>
      </c>
      <c r="C77" s="1" t="str">
        <f aca="false">Wording_Ranks!C72</f>
        <v>Neurological</v>
      </c>
      <c r="D77" s="1" t="str">
        <f aca="false">Wording_Ranks!D72</f>
        <v>Rare</v>
      </c>
      <c r="E77" s="1" t="str">
        <f aca="false">Wording_Ranks!F72</f>
        <v>Not covered</v>
      </c>
      <c r="F77" s="1" t="str">
        <f aca="false">Wording_Ranks!H72</f>
        <v>Not covered</v>
      </c>
      <c r="G77" s="1" t="str">
        <f aca="false">Wording_Ranks!J72</f>
        <v>Full</v>
      </c>
      <c r="H77" s="1" t="str">
        <f aca="false">Wording_Ranks!M72</f>
        <v>Full</v>
      </c>
      <c r="I77" s="1" t="str">
        <f aca="false">Wording_Ranks!O72</f>
        <v>Not covered</v>
      </c>
      <c r="J77" s="98" t="n">
        <f aca="false">IF(OR($E77="Not covered",$E77="Child-only"),0,IF($E77="Full",1,IF($E77="Ancillary",MAX(0.1,MIN(0.5,IF($AN$7="",0.5*$C$4,$AN$7)/$C$4)),MIN(0.5,IF($AN$7="",0.5*$C$4,$AN$7)/$C$4))))</f>
        <v>0</v>
      </c>
      <c r="K77" s="98" t="n">
        <f aca="false">IF(OR($F77="Not covered",$F77="Child-only"),0,IF($F77="Full",1,IF($AD77="Y",$AE77,IF($F77="Ancillary",MAX(0.1,MIN(0.5,IF($AO$7="",0.5*$C$4,$AO$7)/$C$4)),MIN(0.5,IF($AO$7="",0.5*$C$4,$AO$7)/$C$4)))))</f>
        <v>0</v>
      </c>
      <c r="L77" s="98" t="n">
        <f aca="false">IF(OR($G77="Not covered",$G77="Child-only"),0,IF($G77="Full",1,IF($G77="Ancillary",MAX(0.1,MIN(0.5,IF($AS77&lt;&gt;"",$AS77,IF($AP$7="",0.5*$C$4,$AP$7))/$C$4)),MIN(0.5,IF($AS77&lt;&gt;"",$AS77,IF($AP$7="",0.5*$C$4,$AP$7))/$C$4))))</f>
        <v>1</v>
      </c>
      <c r="M77" s="98" t="n">
        <f aca="false">IF(OR($H77="Not covered",$H77="Child-only"),0,IF($H77="Full",1,IF($H77="Ancillary",MAX(0.1,MIN(0.5,IF($AM77&lt;&gt;"",$AM77,IF($AQ$7="",0.5*$C$4,$AQ$7))/$C$4)),MIN(0.5,IF($AM77&lt;&gt;"",$AM77,IF($AQ$7="",0.5*$C$4,$AQ$7))/$C$4))))</f>
        <v>1</v>
      </c>
      <c r="N77" s="98" t="n">
        <f aca="false">IF(OR($I77="Not covered",$I77="Child-only"),0,IF($I77="Full",1,IF($I77="Ancillary",MAX(0.1,MIN(0.5,IF($AR$7="",0.5*$C$4,$AR$7)/$C$4)),MIN(0.5,IF($AR$7="",0.5*$C$4,$AR$7)/$C$4))))</f>
        <v>0</v>
      </c>
      <c r="P77" s="1" t="str">
        <f aca="false">IF(O77="","",1-EXP(-O77/100000))</f>
        <v/>
      </c>
      <c r="R77" s="1" t="s">
        <v>822</v>
      </c>
      <c r="S77" s="1" t="str">
        <f aca="false">IF($P77="","",$P77*J77*$C$4*$C$5)</f>
        <v/>
      </c>
      <c r="T77" s="1" t="str">
        <f aca="false">IF($P77="","",$P77*K77*$C$4*$C$5)</f>
        <v/>
      </c>
      <c r="U77" s="1" t="str">
        <f aca="false">IF($P77="","",$P77*L77*$C$4*$C$5)</f>
        <v/>
      </c>
      <c r="V77" s="1" t="str">
        <f aca="false">IF($P77="","",$P77*M77*$C$4*$C$5)</f>
        <v/>
      </c>
      <c r="W77" s="1" t="str">
        <f aca="false">IF($P77="","",$P77*N77*$C$4*$C$5)</f>
        <v/>
      </c>
      <c r="X77" s="1" t="str">
        <f aca="false">IF(S77="","",S77/$E$7)</f>
        <v/>
      </c>
      <c r="Y77" s="1" t="str">
        <f aca="false">IF(T77="","",T77/$F$7)</f>
        <v/>
      </c>
      <c r="Z77" s="1" t="str">
        <f aca="false">IF(U77="","",U77/$G$7)</f>
        <v/>
      </c>
      <c r="AA77" s="1" t="str">
        <f aca="false">IF(V77="","",V77/$H$7)</f>
        <v/>
      </c>
      <c r="AB77" s="1" t="str">
        <f aca="false">IF(W77="","",W77/$I$7)</f>
        <v/>
      </c>
      <c r="AC77" s="1" t="str">
        <f aca="false">IF(COUNTIF(X77:AB77,"&gt;="&amp;$C$6)&gt;0,"PROMOTE","")</f>
        <v/>
      </c>
      <c r="AD77" s="1" t="str">
        <f aca="false">IF(COUNTIF(Sources_06!$B$33:$B$73,A77)&gt;0,"Y","")</f>
        <v/>
      </c>
      <c r="AE77" s="1" t="str">
        <f aca="false">IF(AD77="Y",MIN(0.5,Sources_06!$D$11/$C$4),"")</f>
        <v/>
      </c>
    </row>
    <row r="78" customFormat="false" ht="15" hidden="false" customHeight="true" outlineLevel="0" collapsed="false">
      <c r="A78" s="1" t="n">
        <v>72</v>
      </c>
      <c r="B78" s="1" t="str">
        <f aca="false">Wording_Ranks!B73</f>
        <v>Myasthenia Gravis</v>
      </c>
      <c r="C78" s="1" t="str">
        <f aca="false">Wording_Ranks!C73</f>
        <v>Neurological</v>
      </c>
      <c r="D78" s="1" t="str">
        <f aca="false">Wording_Ranks!D73</f>
        <v>Rare</v>
      </c>
      <c r="E78" s="1" t="str">
        <f aca="false">Wording_Ranks!F73</f>
        <v>Not covered</v>
      </c>
      <c r="F78" s="1" t="str">
        <f aca="false">Wording_Ranks!H73</f>
        <v>Not covered</v>
      </c>
      <c r="G78" s="1" t="str">
        <f aca="false">Wording_Ranks!J73</f>
        <v>Full</v>
      </c>
      <c r="H78" s="1" t="str">
        <f aca="false">Wording_Ranks!M73</f>
        <v>Full</v>
      </c>
      <c r="I78" s="1" t="str">
        <f aca="false">Wording_Ranks!O73</f>
        <v>Not covered</v>
      </c>
      <c r="J78" s="98" t="n">
        <f aca="false">IF(OR($E78="Not covered",$E78="Child-only"),0,IF($E78="Full",1,IF($E78="Ancillary",MAX(0.1,MIN(0.5,IF($AN$7="",0.5*$C$4,$AN$7)/$C$4)),MIN(0.5,IF($AN$7="",0.5*$C$4,$AN$7)/$C$4))))</f>
        <v>0</v>
      </c>
      <c r="K78" s="98" t="n">
        <f aca="false">IF(OR($F78="Not covered",$F78="Child-only"),0,IF($F78="Full",1,IF($AD78="Y",$AE78,IF($F78="Ancillary",MAX(0.1,MIN(0.5,IF($AO$7="",0.5*$C$4,$AO$7)/$C$4)),MIN(0.5,IF($AO$7="",0.5*$C$4,$AO$7)/$C$4)))))</f>
        <v>0</v>
      </c>
      <c r="L78" s="98" t="n">
        <f aca="false">IF(OR($G78="Not covered",$G78="Child-only"),0,IF($G78="Full",1,IF($G78="Ancillary",MAX(0.1,MIN(0.5,IF($AS78&lt;&gt;"",$AS78,IF($AP$7="",0.5*$C$4,$AP$7))/$C$4)),MIN(0.5,IF($AS78&lt;&gt;"",$AS78,IF($AP$7="",0.5*$C$4,$AP$7))/$C$4))))</f>
        <v>1</v>
      </c>
      <c r="M78" s="98" t="n">
        <f aca="false">IF(OR($H78="Not covered",$H78="Child-only"),0,IF($H78="Full",1,IF($H78="Ancillary",MAX(0.1,MIN(0.5,IF($AM78&lt;&gt;"",$AM78,IF($AQ$7="",0.5*$C$4,$AQ$7))/$C$4)),MIN(0.5,IF($AM78&lt;&gt;"",$AM78,IF($AQ$7="",0.5*$C$4,$AQ$7))/$C$4))))</f>
        <v>1</v>
      </c>
      <c r="N78" s="98" t="n">
        <f aca="false">IF(OR($I78="Not covered",$I78="Child-only"),0,IF($I78="Full",1,IF($I78="Ancillary",MAX(0.1,MIN(0.5,IF($AR$7="",0.5*$C$4,$AR$7)/$C$4)),MIN(0.5,IF($AR$7="",0.5*$C$4,$AR$7)/$C$4))))</f>
        <v>0</v>
      </c>
      <c r="P78" s="1" t="str">
        <f aca="false">IF(O78="","",1-EXP(-O78/100000))</f>
        <v/>
      </c>
      <c r="R78" s="1" t="s">
        <v>822</v>
      </c>
      <c r="S78" s="1" t="str">
        <f aca="false">IF($P78="","",$P78*J78*$C$4*$C$5)</f>
        <v/>
      </c>
      <c r="T78" s="1" t="str">
        <f aca="false">IF($P78="","",$P78*K78*$C$4*$C$5)</f>
        <v/>
      </c>
      <c r="U78" s="1" t="str">
        <f aca="false">IF($P78="","",$P78*L78*$C$4*$C$5)</f>
        <v/>
      </c>
      <c r="V78" s="1" t="str">
        <f aca="false">IF($P78="","",$P78*M78*$C$4*$C$5)</f>
        <v/>
      </c>
      <c r="W78" s="1" t="str">
        <f aca="false">IF($P78="","",$P78*N78*$C$4*$C$5)</f>
        <v/>
      </c>
      <c r="X78" s="1" t="str">
        <f aca="false">IF(S78="","",S78/$E$7)</f>
        <v/>
      </c>
      <c r="Y78" s="1" t="str">
        <f aca="false">IF(T78="","",T78/$F$7)</f>
        <v/>
      </c>
      <c r="Z78" s="1" t="str">
        <f aca="false">IF(U78="","",U78/$G$7)</f>
        <v/>
      </c>
      <c r="AA78" s="1" t="str">
        <f aca="false">IF(V78="","",V78/$H$7)</f>
        <v/>
      </c>
      <c r="AB78" s="1" t="str">
        <f aca="false">IF(W78="","",W78/$I$7)</f>
        <v/>
      </c>
      <c r="AC78" s="1" t="str">
        <f aca="false">IF(COUNTIF(X78:AB78,"&gt;="&amp;$C$6)&gt;0,"PROMOTE","")</f>
        <v/>
      </c>
      <c r="AD78" s="1" t="str">
        <f aca="false">IF(COUNTIF(Sources_06!$B$33:$B$73,A78)&gt;0,"Y","")</f>
        <v/>
      </c>
      <c r="AE78" s="1" t="str">
        <f aca="false">IF(AD78="Y",MIN(0.5,Sources_06!$D$11/$C$4),"")</f>
        <v/>
      </c>
    </row>
    <row r="79" customFormat="false" ht="15" hidden="false" customHeight="true" outlineLevel="0" collapsed="false">
      <c r="A79" s="1" t="n">
        <v>73</v>
      </c>
      <c r="B79" s="1" t="str">
        <f aca="false">Wording_Ranks!B74</f>
        <v>Parkinson Plus Syndromes</v>
      </c>
      <c r="C79" s="1" t="str">
        <f aca="false">Wording_Ranks!C74</f>
        <v>Neurological</v>
      </c>
      <c r="D79" s="1" t="str">
        <f aca="false">Wording_Ranks!D74</f>
        <v>Rare</v>
      </c>
      <c r="E79" s="1" t="str">
        <f aca="false">Wording_Ranks!F74</f>
        <v>Full</v>
      </c>
      <c r="F79" s="1" t="str">
        <f aca="false">Wording_Ranks!H74</f>
        <v>Full</v>
      </c>
      <c r="G79" s="1" t="str">
        <f aca="false">Wording_Ranks!J74</f>
        <v>Full</v>
      </c>
      <c r="H79" s="1" t="str">
        <f aca="false">Wording_Ranks!M74</f>
        <v>Full</v>
      </c>
      <c r="I79" s="1" t="str">
        <f aca="false">Wording_Ranks!O74</f>
        <v>Full</v>
      </c>
      <c r="J79" s="98" t="n">
        <f aca="false">IF(OR($E79="Not covered",$E79="Child-only"),0,IF($E79="Full",1,IF($E79="Ancillary",MAX(0.1,MIN(0.5,IF($AN$7="",0.5*$C$4,$AN$7)/$C$4)),MIN(0.5,IF($AN$7="",0.5*$C$4,$AN$7)/$C$4))))</f>
        <v>1</v>
      </c>
      <c r="K79" s="98" t="n">
        <f aca="false">IF(OR($F79="Not covered",$F79="Child-only"),0,IF($F79="Full",1,IF($AD79="Y",$AE79,IF($F79="Ancillary",MAX(0.1,MIN(0.5,IF($AO$7="",0.5*$C$4,$AO$7)/$C$4)),MIN(0.5,IF($AO$7="",0.5*$C$4,$AO$7)/$C$4)))))</f>
        <v>1</v>
      </c>
      <c r="L79" s="98" t="n">
        <f aca="false">IF(OR($G79="Not covered",$G79="Child-only"),0,IF($G79="Full",1,IF($G79="Ancillary",MAX(0.1,MIN(0.5,IF($AS79&lt;&gt;"",$AS79,IF($AP$7="",0.5*$C$4,$AP$7))/$C$4)),MIN(0.5,IF($AS79&lt;&gt;"",$AS79,IF($AP$7="",0.5*$C$4,$AP$7))/$C$4))))</f>
        <v>1</v>
      </c>
      <c r="M79" s="98" t="n">
        <f aca="false">IF(OR($H79="Not covered",$H79="Child-only"),0,IF($H79="Full",1,IF($H79="Ancillary",MAX(0.1,MIN(0.5,IF($AM79&lt;&gt;"",$AM79,IF($AQ$7="",0.5*$C$4,$AQ$7))/$C$4)),MIN(0.5,IF($AM79&lt;&gt;"",$AM79,IF($AQ$7="",0.5*$C$4,$AQ$7))/$C$4))))</f>
        <v>1</v>
      </c>
      <c r="N79" s="98" t="n">
        <f aca="false">IF(OR($I79="Not covered",$I79="Child-only"),0,IF($I79="Full",1,IF($I79="Ancillary",MAX(0.1,MIN(0.5,IF($AR$7="",0.5*$C$4,$AR$7)/$C$4)),MIN(0.5,IF($AR$7="",0.5*$C$4,$AR$7)/$C$4))))</f>
        <v>1</v>
      </c>
      <c r="P79" s="1" t="str">
        <f aca="false">IF(O79="","",1-EXP(-O79/100000))</f>
        <v/>
      </c>
      <c r="R79" s="1" t="s">
        <v>822</v>
      </c>
      <c r="S79" s="1" t="str">
        <f aca="false">IF($P79="","",$P79*J79*$C$4*$C$5)</f>
        <v/>
      </c>
      <c r="T79" s="1" t="str">
        <f aca="false">IF($P79="","",$P79*K79*$C$4*$C$5)</f>
        <v/>
      </c>
      <c r="U79" s="1" t="str">
        <f aca="false">IF($P79="","",$P79*L79*$C$4*$C$5)</f>
        <v/>
      </c>
      <c r="V79" s="1" t="str">
        <f aca="false">IF($P79="","",$P79*M79*$C$4*$C$5)</f>
        <v/>
      </c>
      <c r="W79" s="1" t="str">
        <f aca="false">IF($P79="","",$P79*N79*$C$4*$C$5)</f>
        <v/>
      </c>
      <c r="X79" s="1" t="str">
        <f aca="false">IF(S79="","",S79/$E$7)</f>
        <v/>
      </c>
      <c r="Y79" s="1" t="str">
        <f aca="false">IF(T79="","",T79/$F$7)</f>
        <v/>
      </c>
      <c r="Z79" s="1" t="str">
        <f aca="false">IF(U79="","",U79/$G$7)</f>
        <v/>
      </c>
      <c r="AA79" s="1" t="str">
        <f aca="false">IF(V79="","",V79/$H$7)</f>
        <v/>
      </c>
      <c r="AB79" s="1" t="str">
        <f aca="false">IF(W79="","",W79/$I$7)</f>
        <v/>
      </c>
      <c r="AC79" s="1" t="str">
        <f aca="false">IF(COUNTIF(X79:AB79,"&gt;="&amp;$C$6)&gt;0,"PROMOTE","")</f>
        <v/>
      </c>
      <c r="AD79" s="1" t="str">
        <f aca="false">IF(COUNTIF(Sources_06!$B$33:$B$73,A79)&gt;0,"Y","")</f>
        <v/>
      </c>
      <c r="AE79" s="1" t="str">
        <f aca="false">IF(AD79="Y",MIN(0.5,Sources_06!$D$11/$C$4),"")</f>
        <v/>
      </c>
    </row>
    <row r="80" customFormat="false" ht="15" hidden="false" customHeight="true" outlineLevel="0" collapsed="false">
      <c r="A80" s="1" t="n">
        <v>74</v>
      </c>
      <c r="B80" s="1" t="str">
        <f aca="false">Wording_Ranks!B75</f>
        <v>Parkinson's Disease – Resulting in Permanent Symptoms</v>
      </c>
      <c r="C80" s="1" t="str">
        <f aca="false">Wording_Ranks!C75</f>
        <v>Neurological</v>
      </c>
      <c r="D80" s="1" t="str">
        <f aca="false">Wording_Ranks!D75</f>
        <v>Medium</v>
      </c>
      <c r="E80" s="1" t="str">
        <f aca="false">Wording_Ranks!F75</f>
        <v>Full</v>
      </c>
      <c r="F80" s="1" t="str">
        <f aca="false">Wording_Ranks!H75</f>
        <v>Full</v>
      </c>
      <c r="G80" s="1" t="str">
        <f aca="false">Wording_Ranks!J75</f>
        <v>Full</v>
      </c>
      <c r="H80" s="1" t="str">
        <f aca="false">Wording_Ranks!M75</f>
        <v>Full</v>
      </c>
      <c r="I80" s="1" t="str">
        <f aca="false">Wording_Ranks!O75</f>
        <v>Full</v>
      </c>
      <c r="J80" s="98" t="n">
        <f aca="false">IF(OR($E80="Not covered",$E80="Child-only"),0,IF($E80="Full",1,IF($E80="Ancillary",MAX(0.1,MIN(0.5,IF($AN$7="",0.5*$C$4,$AN$7)/$C$4)),MIN(0.5,IF($AN$7="",0.5*$C$4,$AN$7)/$C$4))))</f>
        <v>1</v>
      </c>
      <c r="K80" s="98" t="n">
        <f aca="false">IF(OR($F80="Not covered",$F80="Child-only"),0,IF($F80="Full",1,IF($AD80="Y",$AE80,IF($F80="Ancillary",MAX(0.1,MIN(0.5,IF($AO$7="",0.5*$C$4,$AO$7)/$C$4)),MIN(0.5,IF($AO$7="",0.5*$C$4,$AO$7)/$C$4)))))</f>
        <v>1</v>
      </c>
      <c r="L80" s="98" t="n">
        <f aca="false">IF(OR($G80="Not covered",$G80="Child-only"),0,IF($G80="Full",1,IF($G80="Ancillary",MAX(0.1,MIN(0.5,IF($AS80&lt;&gt;"",$AS80,IF($AP$7="",0.5*$C$4,$AP$7))/$C$4)),MIN(0.5,IF($AS80&lt;&gt;"",$AS80,IF($AP$7="",0.5*$C$4,$AP$7))/$C$4))))</f>
        <v>1</v>
      </c>
      <c r="M80" s="98" t="n">
        <f aca="false">IF(OR($H80="Not covered",$H80="Child-only"),0,IF($H80="Full",1,IF($H80="Ancillary",MAX(0.1,MIN(0.5,IF($AM80&lt;&gt;"",$AM80,IF($AQ$7="",0.5*$C$4,$AQ$7))/$C$4)),MIN(0.5,IF($AM80&lt;&gt;"",$AM80,IF($AQ$7="",0.5*$C$4,$AQ$7))/$C$4))))</f>
        <v>1</v>
      </c>
      <c r="N80" s="98" t="n">
        <f aca="false">IF(OR($I80="Not covered",$I80="Child-only"),0,IF($I80="Full",1,IF($I80="Ancillary",MAX(0.1,MIN(0.5,IF($AR$7="",0.5*$C$4,$AR$7)/$C$4)),MIN(0.5,IF($AR$7="",0.5*$C$4,$AR$7)/$C$4))))</f>
        <v>1</v>
      </c>
      <c r="P80" s="1" t="str">
        <f aca="false">IF(O80="","",1-EXP(-O80/100000))</f>
        <v/>
      </c>
      <c r="R80" s="1" t="s">
        <v>822</v>
      </c>
      <c r="S80" s="1" t="str">
        <f aca="false">IF($P80="","",$P80*J80*$C$4*$C$5)</f>
        <v/>
      </c>
      <c r="T80" s="1" t="str">
        <f aca="false">IF($P80="","",$P80*K80*$C$4*$C$5)</f>
        <v/>
      </c>
      <c r="U80" s="1" t="str">
        <f aca="false">IF($P80="","",$P80*L80*$C$4*$C$5)</f>
        <v/>
      </c>
      <c r="V80" s="1" t="str">
        <f aca="false">IF($P80="","",$P80*M80*$C$4*$C$5)</f>
        <v/>
      </c>
      <c r="W80" s="1" t="str">
        <f aca="false">IF($P80="","",$P80*N80*$C$4*$C$5)</f>
        <v/>
      </c>
      <c r="X80" s="1" t="str">
        <f aca="false">IF(S80="","",S80/$E$7)</f>
        <v/>
      </c>
      <c r="Y80" s="1" t="str">
        <f aca="false">IF(T80="","",T80/$F$7)</f>
        <v/>
      </c>
      <c r="Z80" s="1" t="str">
        <f aca="false">IF(U80="","",U80/$G$7)</f>
        <v/>
      </c>
      <c r="AA80" s="1" t="str">
        <f aca="false">IF(V80="","",V80/$H$7)</f>
        <v/>
      </c>
      <c r="AB80" s="1" t="str">
        <f aca="false">IF(W80="","",W80/$I$7)</f>
        <v/>
      </c>
      <c r="AC80" s="1" t="str">
        <f aca="false">IF(COUNTIF(X80:AB80,"&gt;="&amp;$C$6)&gt;0,"PROMOTE","")</f>
        <v/>
      </c>
      <c r="AD80" s="1" t="str">
        <f aca="false">IF(COUNTIF(Sources_06!$B$33:$B$73,A80)&gt;0,"Y","")</f>
        <v/>
      </c>
      <c r="AE80" s="1" t="str">
        <f aca="false">IF(AD80="Y",MIN(0.5,Sources_06!$D$11/$C$4),"")</f>
        <v/>
      </c>
    </row>
    <row r="81" customFormat="false" ht="15" hidden="false" customHeight="true" outlineLevel="0" collapsed="false">
      <c r="A81" s="1" t="n">
        <v>75</v>
      </c>
      <c r="B81" s="1" t="str">
        <f aca="false">Wording_Ranks!B76</f>
        <v>Progressive Supranuclear Palsy</v>
      </c>
      <c r="C81" s="1" t="str">
        <f aca="false">Wording_Ranks!C76</f>
        <v>Neurological</v>
      </c>
      <c r="D81" s="1" t="str">
        <f aca="false">Wording_Ranks!D76</f>
        <v>Rare</v>
      </c>
      <c r="E81" s="1" t="str">
        <f aca="false">Wording_Ranks!F76</f>
        <v>Full</v>
      </c>
      <c r="F81" s="1" t="str">
        <f aca="false">Wording_Ranks!H76</f>
        <v>Not covered</v>
      </c>
      <c r="G81" s="1" t="str">
        <f aca="false">Wording_Ranks!J76</f>
        <v>Full</v>
      </c>
      <c r="H81" s="1" t="str">
        <f aca="false">Wording_Ranks!M76</f>
        <v>Not covered</v>
      </c>
      <c r="I81" s="1" t="str">
        <f aca="false">Wording_Ranks!O76</f>
        <v>Not covered</v>
      </c>
      <c r="J81" s="98" t="n">
        <f aca="false">IF(OR($E81="Not covered",$E81="Child-only"),0,IF($E81="Full",1,IF($E81="Ancillary",MAX(0.1,MIN(0.5,IF($AN$7="",0.5*$C$4,$AN$7)/$C$4)),MIN(0.5,IF($AN$7="",0.5*$C$4,$AN$7)/$C$4))))</f>
        <v>1</v>
      </c>
      <c r="K81" s="98" t="n">
        <f aca="false">IF(OR($F81="Not covered",$F81="Child-only"),0,IF($F81="Full",1,IF($AD81="Y",$AE81,IF($F81="Ancillary",MAX(0.1,MIN(0.5,IF($AO$7="",0.5*$C$4,$AO$7)/$C$4)),MIN(0.5,IF($AO$7="",0.5*$C$4,$AO$7)/$C$4)))))</f>
        <v>0</v>
      </c>
      <c r="L81" s="98" t="n">
        <f aca="false">IF(OR($G81="Not covered",$G81="Child-only"),0,IF($G81="Full",1,IF($G81="Ancillary",MAX(0.1,MIN(0.5,IF($AS81&lt;&gt;"",$AS81,IF($AP$7="",0.5*$C$4,$AP$7))/$C$4)),MIN(0.5,IF($AS81&lt;&gt;"",$AS81,IF($AP$7="",0.5*$C$4,$AP$7))/$C$4))))</f>
        <v>1</v>
      </c>
      <c r="M81" s="98" t="n">
        <f aca="false">IF(OR($H81="Not covered",$H81="Child-only"),0,IF($H81="Full",1,IF($H81="Ancillary",MAX(0.1,MIN(0.5,IF($AM81&lt;&gt;"",$AM81,IF($AQ$7="",0.5*$C$4,$AQ$7))/$C$4)),MIN(0.5,IF($AM81&lt;&gt;"",$AM81,IF($AQ$7="",0.5*$C$4,$AQ$7))/$C$4))))</f>
        <v>0</v>
      </c>
      <c r="N81" s="98" t="n">
        <f aca="false">IF(OR($I81="Not covered",$I81="Child-only"),0,IF($I81="Full",1,IF($I81="Ancillary",MAX(0.1,MIN(0.5,IF($AR$7="",0.5*$C$4,$AR$7)/$C$4)),MIN(0.5,IF($AR$7="",0.5*$C$4,$AR$7)/$C$4))))</f>
        <v>0</v>
      </c>
      <c r="P81" s="1" t="str">
        <f aca="false">IF(O81="","",1-EXP(-O81/100000))</f>
        <v/>
      </c>
      <c r="R81" s="1" t="s">
        <v>822</v>
      </c>
      <c r="S81" s="1" t="str">
        <f aca="false">IF($P81="","",$P81*J81*$C$4*$C$5)</f>
        <v/>
      </c>
      <c r="T81" s="1" t="str">
        <f aca="false">IF($P81="","",$P81*K81*$C$4*$C$5)</f>
        <v/>
      </c>
      <c r="U81" s="1" t="str">
        <f aca="false">IF($P81="","",$P81*L81*$C$4*$C$5)</f>
        <v/>
      </c>
      <c r="V81" s="1" t="str">
        <f aca="false">IF($P81="","",$P81*M81*$C$4*$C$5)</f>
        <v/>
      </c>
      <c r="W81" s="1" t="str">
        <f aca="false">IF($P81="","",$P81*N81*$C$4*$C$5)</f>
        <v/>
      </c>
      <c r="X81" s="1" t="str">
        <f aca="false">IF(S81="","",S81/$E$7)</f>
        <v/>
      </c>
      <c r="Y81" s="1" t="str">
        <f aca="false">IF(T81="","",T81/$F$7)</f>
        <v/>
      </c>
      <c r="Z81" s="1" t="str">
        <f aca="false">IF(U81="","",U81/$G$7)</f>
        <v/>
      </c>
      <c r="AA81" s="1" t="str">
        <f aca="false">IF(V81="","",V81/$H$7)</f>
        <v/>
      </c>
      <c r="AB81" s="1" t="str">
        <f aca="false">IF(W81="","",W81/$I$7)</f>
        <v/>
      </c>
      <c r="AC81" s="1" t="str">
        <f aca="false">IF(COUNTIF(X81:AB81,"&gt;="&amp;$C$6)&gt;0,"PROMOTE","")</f>
        <v/>
      </c>
      <c r="AD81" s="1" t="str">
        <f aca="false">IF(COUNTIF(Sources_06!$B$33:$B$73,A81)&gt;0,"Y","")</f>
        <v/>
      </c>
      <c r="AE81" s="1" t="str">
        <f aca="false">IF(AD81="Y",MIN(0.5,Sources_06!$D$11/$C$4),"")</f>
        <v/>
      </c>
    </row>
    <row r="82" customFormat="false" ht="15" hidden="false" customHeight="true" outlineLevel="0" collapsed="false">
      <c r="A82" s="1" t="n">
        <v>76</v>
      </c>
      <c r="B82" s="1" t="str">
        <f aca="false">Wording_Ranks!B77</f>
        <v>Syringomyelia or Syringobulbia</v>
      </c>
      <c r="C82" s="1" t="str">
        <f aca="false">Wording_Ranks!C77</f>
        <v>Neurological</v>
      </c>
      <c r="D82" s="1" t="str">
        <f aca="false">Wording_Ranks!D77</f>
        <v>Rare</v>
      </c>
      <c r="E82" s="1" t="str">
        <f aca="false">Wording_Ranks!F77</f>
        <v>Partial</v>
      </c>
      <c r="F82" s="1" t="str">
        <f aca="false">Wording_Ranks!H77</f>
        <v>Partial</v>
      </c>
      <c r="G82" s="1" t="str">
        <f aca="false">Wording_Ranks!J77</f>
        <v>Full</v>
      </c>
      <c r="H82" s="1" t="str">
        <f aca="false">Wording_Ranks!M77</f>
        <v>Full</v>
      </c>
      <c r="I82" s="1" t="str">
        <f aca="false">Wording_Ranks!O77</f>
        <v>Partial</v>
      </c>
      <c r="J82" s="98" t="n">
        <f aca="false">IF(OR($E82="Not covered",$E82="Child-only"),0,IF($E82="Full",1,IF($E82="Ancillary",MAX(0.1,MIN(0.5,IF($AN$7="",0.5*$C$4,$AN$7)/$C$4)),MIN(0.5,IF($AN$7="",0.5*$C$4,$AN$7)/$C$4))))</f>
        <v>0.124223602484472</v>
      </c>
      <c r="K82" s="98" t="n">
        <f aca="false">IF(OR($F82="Not covered",$F82="Child-only"),0,IF($F82="Full",1,IF($AD82="Y",$AE82,IF($F82="Ancillary",MAX(0.1,MIN(0.5,IF($AO$7="",0.5*$C$4,$AO$7)/$C$4)),MIN(0.5,IF($AO$7="",0.5*$C$4,$AO$7)/$C$4)))))</f>
        <v>0.093167701863354</v>
      </c>
      <c r="L82" s="98" t="n">
        <f aca="false">IF(OR($G82="Not covered",$G82="Child-only"),0,IF($G82="Full",1,IF($G82="Ancillary",MAX(0.1,MIN(0.5,IF($AS82&lt;&gt;"",$AS82,IF($AP$7="",0.5*$C$4,$AP$7))/$C$4)),MIN(0.5,IF($AS82&lt;&gt;"",$AS82,IF($AP$7="",0.5*$C$4,$AP$7))/$C$4))))</f>
        <v>1</v>
      </c>
      <c r="M82" s="98" t="n">
        <f aca="false">IF(OR($H82="Not covered",$H82="Child-only"),0,IF($H82="Full",1,IF($H82="Ancillary",MAX(0.1,MIN(0.5,IF($AM82&lt;&gt;"",$AM82,IF($AQ$7="",0.5*$C$4,$AQ$7))/$C$4)),MIN(0.5,IF($AM82&lt;&gt;"",$AM82,IF($AQ$7="",0.5*$C$4,$AQ$7))/$C$4))))</f>
        <v>1</v>
      </c>
      <c r="N82" s="98" t="n">
        <f aca="false">IF(OR($I82="Not covered",$I82="Child-only"),0,IF($I82="Full",1,IF($I82="Ancillary",MAX(0.1,MIN(0.5,IF($AR$7="",0.5*$C$4,$AR$7)/$C$4)),MIN(0.5,IF($AR$7="",0.5*$C$4,$AR$7)/$C$4))))</f>
        <v>0.093167701863354</v>
      </c>
      <c r="O82" s="1" t="n">
        <f aca="false">IF(OR($AF$7="",$AG$7=""),"",MAX(AF82/$AF$7,AG82/$AG$7)*100000*IF(AI82="",1,AI82))</f>
        <v>1630.81381413424</v>
      </c>
      <c r="P82" s="1" t="n">
        <f aca="false">IF(O82="","",1-EXP(-O82/100000))</f>
        <v>0.0161758803917508</v>
      </c>
      <c r="Q82" s="1" t="s">
        <v>965</v>
      </c>
      <c r="R82" s="1" t="s">
        <v>1137</v>
      </c>
      <c r="S82" s="1" t="n">
        <f aca="false">IF($P82="","",$P82*J82*$C$4*$C$5)</f>
        <v>6341.08789789098</v>
      </c>
      <c r="T82" s="1" t="n">
        <f aca="false">IF($P82="","",$P82*K82*$C$4*$C$5)</f>
        <v>4755.81592341824</v>
      </c>
      <c r="U82" s="1" t="n">
        <f aca="false">IF($P82="","",$P82*L82*$C$4*$C$5)</f>
        <v>51045.7575780224</v>
      </c>
      <c r="V82" s="1" t="n">
        <f aca="false">IF($P82="","",$P82*M82*$C$4*$C$5)</f>
        <v>51045.7575780224</v>
      </c>
      <c r="W82" s="1" t="n">
        <f aca="false">IF($P82="","",$P82*N82*$C$4*$C$5)</f>
        <v>4755.81592341824</v>
      </c>
      <c r="X82" s="1" t="n">
        <f aca="false">IF(S82="","",S82/$E$7)</f>
        <v>0.395048034070196</v>
      </c>
      <c r="Y82" s="1" t="n">
        <f aca="false">IF(T82="","",T82/$F$7)</f>
        <v>0.434084391374495</v>
      </c>
      <c r="Z82" s="1" t="n">
        <f aca="false">IF(U82="","",U82/$G$7)</f>
        <v>8.44121803321235</v>
      </c>
      <c r="AA82" s="1" t="n">
        <f aca="false">IF(V82="","",V82/$H$7)</f>
        <v>3.58977586462397</v>
      </c>
      <c r="AB82" s="1" t="n">
        <f aca="false">IF(W82="","",W82/$I$7)</f>
        <v>0.3153908074804</v>
      </c>
      <c r="AC82" s="1" t="str">
        <f aca="false">IF(COUNTIF(X82:AB82,"&gt;="&amp;$C$6)&gt;0,"PROMOTE","")</f>
        <v>PROMOTE</v>
      </c>
      <c r="AD82" s="1" t="str">
        <f aca="false">IF(COUNTIF(Sources_06!$B$33:$B$73,A82)&gt;0,"Y","")</f>
        <v>Y</v>
      </c>
      <c r="AE82" s="1" t="n">
        <f aca="false">IF(AD82="Y",MIN(0.5,Sources_06!$D$11/$C$4),"")</f>
        <v>0.093167701863354</v>
      </c>
      <c r="AF82" s="1" t="n">
        <v>11213</v>
      </c>
      <c r="AG82" s="1" t="n">
        <v>21092</v>
      </c>
      <c r="AH82" s="1" t="s">
        <v>1164</v>
      </c>
      <c r="AJ82" s="1" t="s">
        <v>1165</v>
      </c>
    </row>
    <row r="83" customFormat="false" ht="15" hidden="false" customHeight="true" outlineLevel="0" collapsed="false">
      <c r="A83" s="1" t="n">
        <v>77</v>
      </c>
      <c r="B83" s="1" t="str">
        <f aca="false">Wording_Ranks!B78</f>
        <v>Cerebral Palsy</v>
      </c>
      <c r="C83" s="1" t="str">
        <f aca="false">Wording_Ranks!C78</f>
        <v>Neurological / Congenital</v>
      </c>
      <c r="D83" s="1" t="str">
        <f aca="false">Wording_Ranks!D78</f>
        <v>Rare</v>
      </c>
      <c r="E83" s="1" t="str">
        <f aca="false">Wording_Ranks!F78</f>
        <v>Not covered</v>
      </c>
      <c r="F83" s="1" t="str">
        <f aca="false">Wording_Ranks!H78</f>
        <v>Not covered</v>
      </c>
      <c r="G83" s="1" t="str">
        <f aca="false">Wording_Ranks!J78</f>
        <v>Not covered</v>
      </c>
      <c r="H83" s="1" t="str">
        <f aca="false">Wording_Ranks!M78</f>
        <v>Not covered</v>
      </c>
      <c r="I83" s="1" t="str">
        <f aca="false">Wording_Ranks!O78</f>
        <v>Child-only</v>
      </c>
      <c r="J83" s="98" t="n">
        <f aca="false">IF(OR($E83="Not covered",$E83="Child-only"),0,IF($E83="Full",1,IF($E83="Ancillary",MAX(0.1,MIN(0.5,IF($AN$7="",0.5*$C$4,$AN$7)/$C$4)),MIN(0.5,IF($AN$7="",0.5*$C$4,$AN$7)/$C$4))))</f>
        <v>0</v>
      </c>
      <c r="K83" s="98" t="n">
        <f aca="false">IF(OR($F83="Not covered",$F83="Child-only"),0,IF($F83="Full",1,IF($AD83="Y",$AE83,IF($F83="Ancillary",MAX(0.1,MIN(0.5,IF($AO$7="",0.5*$C$4,$AO$7)/$C$4)),MIN(0.5,IF($AO$7="",0.5*$C$4,$AO$7)/$C$4)))))</f>
        <v>0</v>
      </c>
      <c r="L83" s="98" t="n">
        <f aca="false">IF(OR($G83="Not covered",$G83="Child-only"),0,IF($G83="Full",1,IF($G83="Ancillary",MAX(0.1,MIN(0.5,IF($AS83&lt;&gt;"",$AS83,IF($AP$7="",0.5*$C$4,$AP$7))/$C$4)),MIN(0.5,IF($AS83&lt;&gt;"",$AS83,IF($AP$7="",0.5*$C$4,$AP$7))/$C$4))))</f>
        <v>0</v>
      </c>
      <c r="M83" s="98" t="n">
        <f aca="false">IF(OR($H83="Not covered",$H83="Child-only"),0,IF($H83="Full",1,IF($H83="Ancillary",MAX(0.1,MIN(0.5,IF($AM83&lt;&gt;"",$AM83,IF($AQ$7="",0.5*$C$4,$AQ$7))/$C$4)),MIN(0.5,IF($AM83&lt;&gt;"",$AM83,IF($AQ$7="",0.5*$C$4,$AQ$7))/$C$4))))</f>
        <v>0</v>
      </c>
      <c r="N83" s="98" t="n">
        <f aca="false">IF(OR($I83="Not covered",$I83="Child-only"),0,IF($I83="Full",1,IF($I83="Ancillary",MAX(0.1,MIN(0.5,IF($AR$7="",0.5*$C$4,$AR$7)/$C$4)),MIN(0.5,IF($AR$7="",0.5*$C$4,$AR$7)/$C$4))))</f>
        <v>0</v>
      </c>
      <c r="P83" s="1" t="str">
        <f aca="false">IF(O83="","",1-EXP(-O83/100000))</f>
        <v/>
      </c>
      <c r="R83" s="1" t="s">
        <v>822</v>
      </c>
      <c r="S83" s="1" t="str">
        <f aca="false">IF($P83="","",$P83*J83*$C$4*$C$5)</f>
        <v/>
      </c>
      <c r="T83" s="1" t="str">
        <f aca="false">IF($P83="","",$P83*K83*$C$4*$C$5)</f>
        <v/>
      </c>
      <c r="U83" s="1" t="str">
        <f aca="false">IF($P83="","",$P83*L83*$C$4*$C$5)</f>
        <v/>
      </c>
      <c r="V83" s="1" t="str">
        <f aca="false">IF($P83="","",$P83*M83*$C$4*$C$5)</f>
        <v/>
      </c>
      <c r="W83" s="1" t="str">
        <f aca="false">IF($P83="","",$P83*N83*$C$4*$C$5)</f>
        <v/>
      </c>
      <c r="X83" s="1" t="str">
        <f aca="false">IF(S83="","",S83/$E$7)</f>
        <v/>
      </c>
      <c r="Y83" s="1" t="str">
        <f aca="false">IF(T83="","",T83/$F$7)</f>
        <v/>
      </c>
      <c r="Z83" s="1" t="str">
        <f aca="false">IF(U83="","",U83/$G$7)</f>
        <v/>
      </c>
      <c r="AA83" s="1" t="str">
        <f aca="false">IF(V83="","",V83/$H$7)</f>
        <v/>
      </c>
      <c r="AB83" s="1" t="str">
        <f aca="false">IF(W83="","",W83/$I$7)</f>
        <v/>
      </c>
      <c r="AC83" s="1" t="str">
        <f aca="false">IF(COUNTIF(X83:AB83,"&gt;="&amp;$C$6)&gt;0,"PROMOTE","")</f>
        <v/>
      </c>
      <c r="AD83" s="1" t="str">
        <f aca="false">IF(COUNTIF(Sources_06!$B$33:$B$73,A83)&gt;0,"Y","")</f>
        <v/>
      </c>
      <c r="AE83" s="1" t="str">
        <f aca="false">IF(AD83="Y",MIN(0.5,Sources_06!$D$11/$C$4),"")</f>
        <v/>
      </c>
    </row>
    <row r="84" customFormat="false" ht="15" hidden="false" customHeight="true" outlineLevel="0" collapsed="false">
      <c r="A84" s="1" t="n">
        <v>78</v>
      </c>
      <c r="B84" s="1" t="str">
        <f aca="false">Wording_Ranks!B79</f>
        <v>Spina Bifida</v>
      </c>
      <c r="C84" s="1" t="str">
        <f aca="false">Wording_Ranks!C79</f>
        <v>Neurological / Congenital</v>
      </c>
      <c r="D84" s="1" t="str">
        <f aca="false">Wording_Ranks!D79</f>
        <v>Rare</v>
      </c>
      <c r="E84" s="1" t="str">
        <f aca="false">Wording_Ranks!F79</f>
        <v>Not covered</v>
      </c>
      <c r="F84" s="1" t="str">
        <f aca="false">Wording_Ranks!H79</f>
        <v>Not covered</v>
      </c>
      <c r="G84" s="1" t="str">
        <f aca="false">Wording_Ranks!J79</f>
        <v>Not covered</v>
      </c>
      <c r="H84" s="1" t="str">
        <f aca="false">Wording_Ranks!M79</f>
        <v>Not covered</v>
      </c>
      <c r="I84" s="1" t="str">
        <f aca="false">Wording_Ranks!O79</f>
        <v>Child-only</v>
      </c>
      <c r="J84" s="98" t="n">
        <f aca="false">IF(OR($E84="Not covered",$E84="Child-only"),0,IF($E84="Full",1,IF($E84="Ancillary",MAX(0.1,MIN(0.5,IF($AN$7="",0.5*$C$4,$AN$7)/$C$4)),MIN(0.5,IF($AN$7="",0.5*$C$4,$AN$7)/$C$4))))</f>
        <v>0</v>
      </c>
      <c r="K84" s="98" t="n">
        <f aca="false">IF(OR($F84="Not covered",$F84="Child-only"),0,IF($F84="Full",1,IF($AD84="Y",$AE84,IF($F84="Ancillary",MAX(0.1,MIN(0.5,IF($AO$7="",0.5*$C$4,$AO$7)/$C$4)),MIN(0.5,IF($AO$7="",0.5*$C$4,$AO$7)/$C$4)))))</f>
        <v>0</v>
      </c>
      <c r="L84" s="98" t="n">
        <f aca="false">IF(OR($G84="Not covered",$G84="Child-only"),0,IF($G84="Full",1,IF($G84="Ancillary",MAX(0.1,MIN(0.5,IF($AS84&lt;&gt;"",$AS84,IF($AP$7="",0.5*$C$4,$AP$7))/$C$4)),MIN(0.5,IF($AS84&lt;&gt;"",$AS84,IF($AP$7="",0.5*$C$4,$AP$7))/$C$4))))</f>
        <v>0</v>
      </c>
      <c r="M84" s="98" t="n">
        <f aca="false">IF(OR($H84="Not covered",$H84="Child-only"),0,IF($H84="Full",1,IF($H84="Ancillary",MAX(0.1,MIN(0.5,IF($AM84&lt;&gt;"",$AM84,IF($AQ$7="",0.5*$C$4,$AQ$7))/$C$4)),MIN(0.5,IF($AM84&lt;&gt;"",$AM84,IF($AQ$7="",0.5*$C$4,$AQ$7))/$C$4))))</f>
        <v>0</v>
      </c>
      <c r="N84" s="98" t="n">
        <f aca="false">IF(OR($I84="Not covered",$I84="Child-only"),0,IF($I84="Full",1,IF($I84="Ancillary",MAX(0.1,MIN(0.5,IF($AR$7="",0.5*$C$4,$AR$7)/$C$4)),MIN(0.5,IF($AR$7="",0.5*$C$4,$AR$7)/$C$4))))</f>
        <v>0</v>
      </c>
      <c r="P84" s="1" t="str">
        <f aca="false">IF(O84="","",1-EXP(-O84/100000))</f>
        <v/>
      </c>
      <c r="R84" s="1" t="s">
        <v>822</v>
      </c>
      <c r="S84" s="1" t="str">
        <f aca="false">IF($P84="","",$P84*J84*$C$4*$C$5)</f>
        <v/>
      </c>
      <c r="T84" s="1" t="str">
        <f aca="false">IF($P84="","",$P84*K84*$C$4*$C$5)</f>
        <v/>
      </c>
      <c r="U84" s="1" t="str">
        <f aca="false">IF($P84="","",$P84*L84*$C$4*$C$5)</f>
        <v/>
      </c>
      <c r="V84" s="1" t="str">
        <f aca="false">IF($P84="","",$P84*M84*$C$4*$C$5)</f>
        <v/>
      </c>
      <c r="W84" s="1" t="str">
        <f aca="false">IF($P84="","",$P84*N84*$C$4*$C$5)</f>
        <v/>
      </c>
      <c r="X84" s="1" t="str">
        <f aca="false">IF(S84="","",S84/$E$7)</f>
        <v/>
      </c>
      <c r="Y84" s="1" t="str">
        <f aca="false">IF(T84="","",T84/$F$7)</f>
        <v/>
      </c>
      <c r="Z84" s="1" t="str">
        <f aca="false">IF(U84="","",U84/$G$7)</f>
        <v/>
      </c>
      <c r="AA84" s="1" t="str">
        <f aca="false">IF(V84="","",V84/$H$7)</f>
        <v/>
      </c>
      <c r="AB84" s="1" t="str">
        <f aca="false">IF(W84="","",W84/$I$7)</f>
        <v/>
      </c>
      <c r="AC84" s="1" t="str">
        <f aca="false">IF(COUNTIF(X84:AB84,"&gt;="&amp;$C$6)&gt;0,"PROMOTE","")</f>
        <v/>
      </c>
      <c r="AD84" s="1" t="str">
        <f aca="false">IF(COUNTIF(Sources_06!$B$33:$B$73,A84)&gt;0,"Y","")</f>
        <v/>
      </c>
      <c r="AE84" s="1" t="str">
        <f aca="false">IF(AD84="Y",MIN(0.5,Sources_06!$D$11/$C$4),"")</f>
        <v/>
      </c>
    </row>
    <row r="85" customFormat="false" ht="15" hidden="false" customHeight="true" outlineLevel="0" collapsed="false">
      <c r="A85" s="1" t="n">
        <v>79</v>
      </c>
      <c r="B85" s="1" t="str">
        <f aca="false">Wording_Ranks!B80</f>
        <v>Alzheimer's Disease / Dementia – Resulting in Permanent Symptoms</v>
      </c>
      <c r="C85" s="1" t="str">
        <f aca="false">Wording_Ranks!C80</f>
        <v>Neurological / Dementia</v>
      </c>
      <c r="D85" s="1" t="str">
        <f aca="false">Wording_Ranks!D80</f>
        <v>Medium</v>
      </c>
      <c r="E85" s="1" t="str">
        <f aca="false">Wording_Ranks!F80</f>
        <v>Full</v>
      </c>
      <c r="F85" s="1" t="str">
        <f aca="false">Wording_Ranks!H80</f>
        <v>Full</v>
      </c>
      <c r="G85" s="1" t="str">
        <f aca="false">Wording_Ranks!J80</f>
        <v>Full</v>
      </c>
      <c r="H85" s="1" t="str">
        <f aca="false">Wording_Ranks!M80</f>
        <v>Full</v>
      </c>
      <c r="I85" s="1" t="str">
        <f aca="false">Wording_Ranks!O80</f>
        <v>Full</v>
      </c>
      <c r="J85" s="98" t="n">
        <f aca="false">IF(OR($E85="Not covered",$E85="Child-only"),0,IF($E85="Full",1,IF($E85="Ancillary",MAX(0.1,MIN(0.5,IF($AN$7="",0.5*$C$4,$AN$7)/$C$4)),MIN(0.5,IF($AN$7="",0.5*$C$4,$AN$7)/$C$4))))</f>
        <v>1</v>
      </c>
      <c r="K85" s="98" t="n">
        <f aca="false">IF(OR($F85="Not covered",$F85="Child-only"),0,IF($F85="Full",1,IF($AD85="Y",$AE85,IF($F85="Ancillary",MAX(0.1,MIN(0.5,IF($AO$7="",0.5*$C$4,$AO$7)/$C$4)),MIN(0.5,IF($AO$7="",0.5*$C$4,$AO$7)/$C$4)))))</f>
        <v>1</v>
      </c>
      <c r="L85" s="98" t="n">
        <f aca="false">IF(OR($G85="Not covered",$G85="Child-only"),0,IF($G85="Full",1,IF($G85="Ancillary",MAX(0.1,MIN(0.5,IF($AS85&lt;&gt;"",$AS85,IF($AP$7="",0.5*$C$4,$AP$7))/$C$4)),MIN(0.5,IF($AS85&lt;&gt;"",$AS85,IF($AP$7="",0.5*$C$4,$AP$7))/$C$4))))</f>
        <v>1</v>
      </c>
      <c r="M85" s="98" t="n">
        <f aca="false">IF(OR($H85="Not covered",$H85="Child-only"),0,IF($H85="Full",1,IF($H85="Ancillary",MAX(0.1,MIN(0.5,IF($AM85&lt;&gt;"",$AM85,IF($AQ$7="",0.5*$C$4,$AQ$7))/$C$4)),MIN(0.5,IF($AM85&lt;&gt;"",$AM85,IF($AQ$7="",0.5*$C$4,$AQ$7))/$C$4))))</f>
        <v>1</v>
      </c>
      <c r="N85" s="98" t="n">
        <f aca="false">IF(OR($I85="Not covered",$I85="Child-only"),0,IF($I85="Full",1,IF($I85="Ancillary",MAX(0.1,MIN(0.5,IF($AR$7="",0.5*$C$4,$AR$7)/$C$4)),MIN(0.5,IF($AR$7="",0.5*$C$4,$AR$7)/$C$4))))</f>
        <v>1</v>
      </c>
      <c r="P85" s="1" t="str">
        <f aca="false">IF(O85="","",1-EXP(-O85/100000))</f>
        <v/>
      </c>
      <c r="R85" s="1" t="s">
        <v>822</v>
      </c>
      <c r="S85" s="1" t="str">
        <f aca="false">IF($P85="","",$P85*J85*$C$4*$C$5)</f>
        <v/>
      </c>
      <c r="T85" s="1" t="str">
        <f aca="false">IF($P85="","",$P85*K85*$C$4*$C$5)</f>
        <v/>
      </c>
      <c r="U85" s="1" t="str">
        <f aca="false">IF($P85="","",$P85*L85*$C$4*$C$5)</f>
        <v/>
      </c>
      <c r="V85" s="1" t="str">
        <f aca="false">IF($P85="","",$P85*M85*$C$4*$C$5)</f>
        <v/>
      </c>
      <c r="W85" s="1" t="str">
        <f aca="false">IF($P85="","",$P85*N85*$C$4*$C$5)</f>
        <v/>
      </c>
      <c r="X85" s="1" t="str">
        <f aca="false">IF(S85="","",S85/$E$7)</f>
        <v/>
      </c>
      <c r="Y85" s="1" t="str">
        <f aca="false">IF(T85="","",T85/$F$7)</f>
        <v/>
      </c>
      <c r="Z85" s="1" t="str">
        <f aca="false">IF(U85="","",U85/$G$7)</f>
        <v/>
      </c>
      <c r="AA85" s="1" t="str">
        <f aca="false">IF(V85="","",V85/$H$7)</f>
        <v/>
      </c>
      <c r="AB85" s="1" t="str">
        <f aca="false">IF(W85="","",W85/$I$7)</f>
        <v/>
      </c>
      <c r="AC85" s="1" t="str">
        <f aca="false">IF(COUNTIF(X85:AB85,"&gt;="&amp;$C$6)&gt;0,"PROMOTE","")</f>
        <v/>
      </c>
      <c r="AD85" s="1" t="str">
        <f aca="false">IF(COUNTIF(Sources_06!$B$33:$B$73,A85)&gt;0,"Y","")</f>
        <v/>
      </c>
      <c r="AE85" s="1" t="str">
        <f aca="false">IF(AD85="Y",MIN(0.5,Sources_06!$D$11/$C$4),"")</f>
        <v/>
      </c>
    </row>
    <row r="86" customFormat="false" ht="15" hidden="false" customHeight="true" outlineLevel="0" collapsed="false">
      <c r="A86" s="1" t="n">
        <v>80</v>
      </c>
      <c r="B86" s="1" t="str">
        <f aca="false">Wording_Ranks!B81</f>
        <v>Bacterial Meningitis – Resulting in Permanent Symptoms</v>
      </c>
      <c r="C86" s="1" t="str">
        <f aca="false">Wording_Ranks!C81</f>
        <v>Neurological / Infectious</v>
      </c>
      <c r="D86" s="1" t="str">
        <f aca="false">Wording_Ranks!D81</f>
        <v>Low</v>
      </c>
      <c r="E86" s="1" t="str">
        <f aca="false">Wording_Ranks!F81</f>
        <v>Full</v>
      </c>
      <c r="F86" s="1" t="str">
        <f aca="false">Wording_Ranks!H81</f>
        <v>Full</v>
      </c>
      <c r="G86" s="1" t="str">
        <f aca="false">Wording_Ranks!J81</f>
        <v>Full</v>
      </c>
      <c r="H86" s="1" t="str">
        <f aca="false">Wording_Ranks!M81</f>
        <v>Full</v>
      </c>
      <c r="I86" s="1" t="str">
        <f aca="false">Wording_Ranks!O81</f>
        <v>Full</v>
      </c>
      <c r="J86" s="98" t="n">
        <f aca="false">IF(OR($E86="Not covered",$E86="Child-only"),0,IF($E86="Full",1,IF($E86="Ancillary",MAX(0.1,MIN(0.5,IF($AN$7="",0.5*$C$4,$AN$7)/$C$4)),MIN(0.5,IF($AN$7="",0.5*$C$4,$AN$7)/$C$4))))</f>
        <v>1</v>
      </c>
      <c r="K86" s="98" t="n">
        <f aca="false">IF(OR($F86="Not covered",$F86="Child-only"),0,IF($F86="Full",1,IF($AD86="Y",$AE86,IF($F86="Ancillary",MAX(0.1,MIN(0.5,IF($AO$7="",0.5*$C$4,$AO$7)/$C$4)),MIN(0.5,IF($AO$7="",0.5*$C$4,$AO$7)/$C$4)))))</f>
        <v>1</v>
      </c>
      <c r="L86" s="98" t="n">
        <f aca="false">IF(OR($G86="Not covered",$G86="Child-only"),0,IF($G86="Full",1,IF($G86="Ancillary",MAX(0.1,MIN(0.5,IF($AS86&lt;&gt;"",$AS86,IF($AP$7="",0.5*$C$4,$AP$7))/$C$4)),MIN(0.5,IF($AS86&lt;&gt;"",$AS86,IF($AP$7="",0.5*$C$4,$AP$7))/$C$4))))</f>
        <v>1</v>
      </c>
      <c r="M86" s="98" t="n">
        <f aca="false">IF(OR($H86="Not covered",$H86="Child-only"),0,IF($H86="Full",1,IF($H86="Ancillary",MAX(0.1,MIN(0.5,IF($AM86&lt;&gt;"",$AM86,IF($AQ$7="",0.5*$C$4,$AQ$7))/$C$4)),MIN(0.5,IF($AM86&lt;&gt;"",$AM86,IF($AQ$7="",0.5*$C$4,$AQ$7))/$C$4))))</f>
        <v>1</v>
      </c>
      <c r="N86" s="98" t="n">
        <f aca="false">IF(OR($I86="Not covered",$I86="Child-only"),0,IF($I86="Full",1,IF($I86="Ancillary",MAX(0.1,MIN(0.5,IF($AR$7="",0.5*$C$4,$AR$7)/$C$4)),MIN(0.5,IF($AR$7="",0.5*$C$4,$AR$7)/$C$4))))</f>
        <v>1</v>
      </c>
      <c r="P86" s="1" t="str">
        <f aca="false">IF(O86="","",1-EXP(-O86/100000))</f>
        <v/>
      </c>
      <c r="R86" s="1" t="s">
        <v>822</v>
      </c>
      <c r="S86" s="1" t="str">
        <f aca="false">IF($P86="","",$P86*J86*$C$4*$C$5)</f>
        <v/>
      </c>
      <c r="T86" s="1" t="str">
        <f aca="false">IF($P86="","",$P86*K86*$C$4*$C$5)</f>
        <v/>
      </c>
      <c r="U86" s="1" t="str">
        <f aca="false">IF($P86="","",$P86*L86*$C$4*$C$5)</f>
        <v/>
      </c>
      <c r="V86" s="1" t="str">
        <f aca="false">IF($P86="","",$P86*M86*$C$4*$C$5)</f>
        <v/>
      </c>
      <c r="W86" s="1" t="str">
        <f aca="false">IF($P86="","",$P86*N86*$C$4*$C$5)</f>
        <v/>
      </c>
      <c r="X86" s="1" t="str">
        <f aca="false">IF(S86="","",S86/$E$7)</f>
        <v/>
      </c>
      <c r="Y86" s="1" t="str">
        <f aca="false">IF(T86="","",T86/$F$7)</f>
        <v/>
      </c>
      <c r="Z86" s="1" t="str">
        <f aca="false">IF(U86="","",U86/$G$7)</f>
        <v/>
      </c>
      <c r="AA86" s="1" t="str">
        <f aca="false">IF(V86="","",V86/$H$7)</f>
        <v/>
      </c>
      <c r="AB86" s="1" t="str">
        <f aca="false">IF(W86="","",W86/$I$7)</f>
        <v/>
      </c>
      <c r="AC86" s="1" t="str">
        <f aca="false">IF(COUNTIF(X86:AB86,"&gt;="&amp;$C$6)&gt;0,"PROMOTE","")</f>
        <v/>
      </c>
      <c r="AD86" s="1" t="str">
        <f aca="false">IF(COUNTIF(Sources_06!$B$33:$B$73,A86)&gt;0,"Y","")</f>
        <v/>
      </c>
      <c r="AE86" s="1" t="str">
        <f aca="false">IF(AD86="Y",MIN(0.5,Sources_06!$D$11/$C$4),"")</f>
        <v/>
      </c>
    </row>
    <row r="87" customFormat="false" ht="15" hidden="false" customHeight="true" outlineLevel="0" collapsed="false">
      <c r="A87" s="1" t="n">
        <v>81</v>
      </c>
      <c r="B87" s="1" t="str">
        <f aca="false">Wording_Ranks!B82</f>
        <v>Brain Abscess – Drained via Craniotomy</v>
      </c>
      <c r="C87" s="1" t="str">
        <f aca="false">Wording_Ranks!C82</f>
        <v>Neurological / Infectious</v>
      </c>
      <c r="D87" s="1" t="str">
        <f aca="false">Wording_Ranks!D82</f>
        <v>Rare</v>
      </c>
      <c r="E87" s="1" t="str">
        <f aca="false">Wording_Ranks!F82</f>
        <v>Partial</v>
      </c>
      <c r="F87" s="1" t="str">
        <f aca="false">Wording_Ranks!H82</f>
        <v>Partial</v>
      </c>
      <c r="G87" s="1" t="str">
        <f aca="false">Wording_Ranks!J82</f>
        <v>Full</v>
      </c>
      <c r="H87" s="1" t="str">
        <f aca="false">Wording_Ranks!M82</f>
        <v>Full</v>
      </c>
      <c r="I87" s="1" t="str">
        <f aca="false">Wording_Ranks!O82</f>
        <v>Partial</v>
      </c>
      <c r="J87" s="98" t="n">
        <f aca="false">IF(OR($E87="Not covered",$E87="Child-only"),0,IF($E87="Full",1,IF($E87="Ancillary",MAX(0.1,MIN(0.5,IF($AN$7="",0.5*$C$4,$AN$7)/$C$4)),MIN(0.5,IF($AN$7="",0.5*$C$4,$AN$7)/$C$4))))</f>
        <v>0.124223602484472</v>
      </c>
      <c r="K87" s="98" t="n">
        <f aca="false">IF(OR($F87="Not covered",$F87="Child-only"),0,IF($F87="Full",1,IF($AD87="Y",$AE87,IF($F87="Ancillary",MAX(0.1,MIN(0.5,IF($AO$7="",0.5*$C$4,$AO$7)/$C$4)),MIN(0.5,IF($AO$7="",0.5*$C$4,$AO$7)/$C$4)))))</f>
        <v>0.093167701863354</v>
      </c>
      <c r="L87" s="98" t="n">
        <f aca="false">IF(OR($G87="Not covered",$G87="Child-only"),0,IF($G87="Full",1,IF($G87="Ancillary",MAX(0.1,MIN(0.5,IF($AS87&lt;&gt;"",$AS87,IF($AP$7="",0.5*$C$4,$AP$7))/$C$4)),MIN(0.5,IF($AS87&lt;&gt;"",$AS87,IF($AP$7="",0.5*$C$4,$AP$7))/$C$4))))</f>
        <v>1</v>
      </c>
      <c r="M87" s="98" t="n">
        <f aca="false">IF(OR($H87="Not covered",$H87="Child-only"),0,IF($H87="Full",1,IF($H87="Ancillary",MAX(0.1,MIN(0.5,IF($AM87&lt;&gt;"",$AM87,IF($AQ$7="",0.5*$C$4,$AQ$7))/$C$4)),MIN(0.5,IF($AM87&lt;&gt;"",$AM87,IF($AQ$7="",0.5*$C$4,$AQ$7))/$C$4))))</f>
        <v>1</v>
      </c>
      <c r="N87" s="98" t="n">
        <f aca="false">IF(OR($I87="Not covered",$I87="Child-only"),0,IF($I87="Full",1,IF($I87="Ancillary",MAX(0.1,MIN(0.5,IF($AR$7="",0.5*$C$4,$AR$7)/$C$4)),MIN(0.5,IF($AR$7="",0.5*$C$4,$AR$7)/$C$4))))</f>
        <v>0.093167701863354</v>
      </c>
      <c r="O87" s="1" t="n">
        <f aca="false">IF(OR($AF$7="",$AG$7=""),"",MAX(AF87/$AF$7,AG87/$AG$7)*100000*IF(AI87="",1,AI87))</f>
        <v>1630.81381413424</v>
      </c>
      <c r="P87" s="1" t="n">
        <f aca="false">IF(O87="","",1-EXP(-O87/100000))</f>
        <v>0.0161758803917508</v>
      </c>
      <c r="Q87" s="1" t="s">
        <v>965</v>
      </c>
      <c r="R87" s="1" t="s">
        <v>1137</v>
      </c>
      <c r="S87" s="1" t="n">
        <f aca="false">IF($P87="","",$P87*J87*$C$4*$C$5)</f>
        <v>6341.08789789098</v>
      </c>
      <c r="T87" s="1" t="n">
        <f aca="false">IF($P87="","",$P87*K87*$C$4*$C$5)</f>
        <v>4755.81592341824</v>
      </c>
      <c r="U87" s="1" t="n">
        <f aca="false">IF($P87="","",$P87*L87*$C$4*$C$5)</f>
        <v>51045.7575780224</v>
      </c>
      <c r="V87" s="1" t="n">
        <f aca="false">IF($P87="","",$P87*M87*$C$4*$C$5)</f>
        <v>51045.7575780224</v>
      </c>
      <c r="W87" s="1" t="n">
        <f aca="false">IF($P87="","",$P87*N87*$C$4*$C$5)</f>
        <v>4755.81592341824</v>
      </c>
      <c r="X87" s="1" t="n">
        <f aca="false">IF(S87="","",S87/$E$7)</f>
        <v>0.395048034070196</v>
      </c>
      <c r="Y87" s="1" t="n">
        <f aca="false">IF(T87="","",T87/$F$7)</f>
        <v>0.434084391374495</v>
      </c>
      <c r="Z87" s="1" t="n">
        <f aca="false">IF(U87="","",U87/$G$7)</f>
        <v>8.44121803321235</v>
      </c>
      <c r="AA87" s="1" t="n">
        <f aca="false">IF(V87="","",V87/$H$7)</f>
        <v>3.58977586462397</v>
      </c>
      <c r="AB87" s="1" t="n">
        <f aca="false">IF(W87="","",W87/$I$7)</f>
        <v>0.3153908074804</v>
      </c>
      <c r="AC87" s="1" t="str">
        <f aca="false">IF(COUNTIF(X87:AB87,"&gt;="&amp;$C$6)&gt;0,"PROMOTE","")</f>
        <v>PROMOTE</v>
      </c>
      <c r="AD87" s="1" t="str">
        <f aca="false">IF(COUNTIF(Sources_06!$B$33:$B$73,A87)&gt;0,"Y","")</f>
        <v>Y</v>
      </c>
      <c r="AE87" s="1" t="n">
        <f aca="false">IF(AD87="Y",MIN(0.5,Sources_06!$D$11/$C$4),"")</f>
        <v>0.093167701863354</v>
      </c>
      <c r="AF87" s="1" t="n">
        <v>11213</v>
      </c>
      <c r="AG87" s="1" t="n">
        <v>21092</v>
      </c>
      <c r="AH87" s="1" t="s">
        <v>1164</v>
      </c>
      <c r="AJ87" s="1" t="s">
        <v>1165</v>
      </c>
    </row>
    <row r="88" customFormat="false" ht="15" hidden="false" customHeight="true" outlineLevel="0" collapsed="false">
      <c r="A88" s="1" t="n">
        <v>82</v>
      </c>
      <c r="B88" s="1" t="str">
        <f aca="false">Wording_Ranks!B83</f>
        <v>Encephalitis – Resulting in Permanent Symptoms</v>
      </c>
      <c r="C88" s="1" t="str">
        <f aca="false">Wording_Ranks!C83</f>
        <v>Neurological / Infectious</v>
      </c>
      <c r="D88" s="1" t="str">
        <f aca="false">Wording_Ranks!D83</f>
        <v>Rare</v>
      </c>
      <c r="E88" s="1" t="str">
        <f aca="false">Wording_Ranks!F83</f>
        <v>Full</v>
      </c>
      <c r="F88" s="1" t="str">
        <f aca="false">Wording_Ranks!H83</f>
        <v>Full</v>
      </c>
      <c r="G88" s="1" t="str">
        <f aca="false">Wording_Ranks!J83</f>
        <v>Full</v>
      </c>
      <c r="H88" s="1" t="str">
        <f aca="false">Wording_Ranks!M83</f>
        <v>Full</v>
      </c>
      <c r="I88" s="1" t="str">
        <f aca="false">Wording_Ranks!O83</f>
        <v>Full</v>
      </c>
      <c r="J88" s="98" t="n">
        <f aca="false">IF(OR($E88="Not covered",$E88="Child-only"),0,IF($E88="Full",1,IF($E88="Ancillary",MAX(0.1,MIN(0.5,IF($AN$7="",0.5*$C$4,$AN$7)/$C$4)),MIN(0.5,IF($AN$7="",0.5*$C$4,$AN$7)/$C$4))))</f>
        <v>1</v>
      </c>
      <c r="K88" s="98" t="n">
        <f aca="false">IF(OR($F88="Not covered",$F88="Child-only"),0,IF($F88="Full",1,IF($AD88="Y",$AE88,IF($F88="Ancillary",MAX(0.1,MIN(0.5,IF($AO$7="",0.5*$C$4,$AO$7)/$C$4)),MIN(0.5,IF($AO$7="",0.5*$C$4,$AO$7)/$C$4)))))</f>
        <v>1</v>
      </c>
      <c r="L88" s="98" t="n">
        <f aca="false">IF(OR($G88="Not covered",$G88="Child-only"),0,IF($G88="Full",1,IF($G88="Ancillary",MAX(0.1,MIN(0.5,IF($AS88&lt;&gt;"",$AS88,IF($AP$7="",0.5*$C$4,$AP$7))/$C$4)),MIN(0.5,IF($AS88&lt;&gt;"",$AS88,IF($AP$7="",0.5*$C$4,$AP$7))/$C$4))))</f>
        <v>1</v>
      </c>
      <c r="M88" s="98" t="n">
        <f aca="false">IF(OR($H88="Not covered",$H88="Child-only"),0,IF($H88="Full",1,IF($H88="Ancillary",MAX(0.1,MIN(0.5,IF($AM88&lt;&gt;"",$AM88,IF($AQ$7="",0.5*$C$4,$AQ$7))/$C$4)),MIN(0.5,IF($AM88&lt;&gt;"",$AM88,IF($AQ$7="",0.5*$C$4,$AQ$7))/$C$4))))</f>
        <v>1</v>
      </c>
      <c r="N88" s="98" t="n">
        <f aca="false">IF(OR($I88="Not covered",$I88="Child-only"),0,IF($I88="Full",1,IF($I88="Ancillary",MAX(0.1,MIN(0.5,IF($AR$7="",0.5*$C$4,$AR$7)/$C$4)),MIN(0.5,IF($AR$7="",0.5*$C$4,$AR$7)/$C$4))))</f>
        <v>1</v>
      </c>
      <c r="P88" s="1" t="str">
        <f aca="false">IF(O88="","",1-EXP(-O88/100000))</f>
        <v/>
      </c>
      <c r="R88" s="1" t="s">
        <v>822</v>
      </c>
      <c r="S88" s="1" t="str">
        <f aca="false">IF($P88="","",$P88*J88*$C$4*$C$5)</f>
        <v/>
      </c>
      <c r="T88" s="1" t="str">
        <f aca="false">IF($P88="","",$P88*K88*$C$4*$C$5)</f>
        <v/>
      </c>
      <c r="U88" s="1" t="str">
        <f aca="false">IF($P88="","",$P88*L88*$C$4*$C$5)</f>
        <v/>
      </c>
      <c r="V88" s="1" t="str">
        <f aca="false">IF($P88="","",$P88*M88*$C$4*$C$5)</f>
        <v/>
      </c>
      <c r="W88" s="1" t="str">
        <f aca="false">IF($P88="","",$P88*N88*$C$4*$C$5)</f>
        <v/>
      </c>
      <c r="X88" s="1" t="str">
        <f aca="false">IF(S88="","",S88/$E$7)</f>
        <v/>
      </c>
      <c r="Y88" s="1" t="str">
        <f aca="false">IF(T88="","",T88/$F$7)</f>
        <v/>
      </c>
      <c r="Z88" s="1" t="str">
        <f aca="false">IF(U88="","",U88/$G$7)</f>
        <v/>
      </c>
      <c r="AA88" s="1" t="str">
        <f aca="false">IF(V88="","",V88/$H$7)</f>
        <v/>
      </c>
      <c r="AB88" s="1" t="str">
        <f aca="false">IF(W88="","",W88/$I$7)</f>
        <v/>
      </c>
      <c r="AC88" s="1" t="str">
        <f aca="false">IF(COUNTIF(X88:AB88,"&gt;="&amp;$C$6)&gt;0,"PROMOTE","")</f>
        <v/>
      </c>
      <c r="AD88" s="1" t="str">
        <f aca="false">IF(COUNTIF(Sources_06!$B$33:$B$73,A88)&gt;0,"Y","")</f>
        <v/>
      </c>
      <c r="AE88" s="1" t="str">
        <f aca="false">IF(AD88="Y",MIN(0.5,Sources_06!$D$11/$C$4),"")</f>
        <v/>
      </c>
    </row>
    <row r="89" customFormat="false" ht="15" hidden="false" customHeight="true" outlineLevel="0" collapsed="false">
      <c r="A89" s="1" t="n">
        <v>83</v>
      </c>
      <c r="B89" s="1" t="str">
        <f aca="false">Wording_Ranks!B84</f>
        <v>Benign Brain Tumour – of Specified Severity</v>
      </c>
      <c r="C89" s="1" t="str">
        <f aca="false">Wording_Ranks!C84</f>
        <v>Neurological / Oncology</v>
      </c>
      <c r="D89" s="1" t="str">
        <f aca="false">Wording_Ranks!D84</f>
        <v>Low</v>
      </c>
      <c r="E89" s="1" t="str">
        <f aca="false">Wording_Ranks!F84</f>
        <v>Full</v>
      </c>
      <c r="F89" s="1" t="str">
        <f aca="false">Wording_Ranks!H84</f>
        <v>Full</v>
      </c>
      <c r="G89" s="1" t="str">
        <f aca="false">Wording_Ranks!J84</f>
        <v>Full</v>
      </c>
      <c r="H89" s="1" t="str">
        <f aca="false">Wording_Ranks!M84</f>
        <v>Full</v>
      </c>
      <c r="I89" s="1" t="str">
        <f aca="false">Wording_Ranks!O84</f>
        <v>Full</v>
      </c>
      <c r="J89" s="98" t="n">
        <f aca="false">IF(OR($E89="Not covered",$E89="Child-only"),0,IF($E89="Full",1,IF($E89="Ancillary",MAX(0.1,MIN(0.5,IF($AN$7="",0.5*$C$4,$AN$7)/$C$4)),MIN(0.5,IF($AN$7="",0.5*$C$4,$AN$7)/$C$4))))</f>
        <v>1</v>
      </c>
      <c r="K89" s="98" t="n">
        <f aca="false">IF(OR($F89="Not covered",$F89="Child-only"),0,IF($F89="Full",1,IF($AD89="Y",$AE89,IF($F89="Ancillary",MAX(0.1,MIN(0.5,IF($AO$7="",0.5*$C$4,$AO$7)/$C$4)),MIN(0.5,IF($AO$7="",0.5*$C$4,$AO$7)/$C$4)))))</f>
        <v>1</v>
      </c>
      <c r="L89" s="98" t="n">
        <f aca="false">IF(OR($G89="Not covered",$G89="Child-only"),0,IF($G89="Full",1,IF($G89="Ancillary",MAX(0.1,MIN(0.5,IF($AS89&lt;&gt;"",$AS89,IF($AP$7="",0.5*$C$4,$AP$7))/$C$4)),MIN(0.5,IF($AS89&lt;&gt;"",$AS89,IF($AP$7="",0.5*$C$4,$AP$7))/$C$4))))</f>
        <v>1</v>
      </c>
      <c r="M89" s="98" t="n">
        <f aca="false">IF(OR($H89="Not covered",$H89="Child-only"),0,IF($H89="Full",1,IF($H89="Ancillary",MAX(0.1,MIN(0.5,IF($AM89&lt;&gt;"",$AM89,IF($AQ$7="",0.5*$C$4,$AQ$7))/$C$4)),MIN(0.5,IF($AM89&lt;&gt;"",$AM89,IF($AQ$7="",0.5*$C$4,$AQ$7))/$C$4))))</f>
        <v>1</v>
      </c>
      <c r="N89" s="98" t="n">
        <f aca="false">IF(OR($I89="Not covered",$I89="Child-only"),0,IF($I89="Full",1,IF($I89="Ancillary",MAX(0.1,MIN(0.5,IF($AR$7="",0.5*$C$4,$AR$7)/$C$4)),MIN(0.5,IF($AR$7="",0.5*$C$4,$AR$7)/$C$4))))</f>
        <v>1</v>
      </c>
      <c r="P89" s="1" t="str">
        <f aca="false">IF(O89="","",1-EXP(-O89/100000))</f>
        <v/>
      </c>
      <c r="R89" s="1" t="s">
        <v>822</v>
      </c>
      <c r="S89" s="1" t="str">
        <f aca="false">IF($P89="","",$P89*J89*$C$4*$C$5)</f>
        <v/>
      </c>
      <c r="T89" s="1" t="str">
        <f aca="false">IF($P89="","",$P89*K89*$C$4*$C$5)</f>
        <v/>
      </c>
      <c r="U89" s="1" t="str">
        <f aca="false">IF($P89="","",$P89*L89*$C$4*$C$5)</f>
        <v/>
      </c>
      <c r="V89" s="1" t="str">
        <f aca="false">IF($P89="","",$P89*M89*$C$4*$C$5)</f>
        <v/>
      </c>
      <c r="W89" s="1" t="str">
        <f aca="false">IF($P89="","",$P89*N89*$C$4*$C$5)</f>
        <v/>
      </c>
      <c r="X89" s="1" t="str">
        <f aca="false">IF(S89="","",S89/$E$7)</f>
        <v/>
      </c>
      <c r="Y89" s="1" t="str">
        <f aca="false">IF(T89="","",T89/$F$7)</f>
        <v/>
      </c>
      <c r="Z89" s="1" t="str">
        <f aca="false">IF(U89="","",U89/$G$7)</f>
        <v/>
      </c>
      <c r="AA89" s="1" t="str">
        <f aca="false">IF(V89="","",V89/$H$7)</f>
        <v/>
      </c>
      <c r="AB89" s="1" t="str">
        <f aca="false">IF(W89="","",W89/$I$7)</f>
        <v/>
      </c>
      <c r="AC89" s="1" t="str">
        <f aca="false">IF(COUNTIF(X89:AB89,"&gt;="&amp;$C$6)&gt;0,"PROMOTE","")</f>
        <v/>
      </c>
      <c r="AD89" s="1" t="str">
        <f aca="false">IF(COUNTIF(Sources_06!$B$33:$B$73,A89)&gt;0,"Y","")</f>
        <v/>
      </c>
      <c r="AE89" s="1" t="str">
        <f aca="false">IF(AD89="Y",MIN(0.5,Sources_06!$D$11/$C$4),"")</f>
        <v/>
      </c>
    </row>
    <row r="90" customFormat="false" ht="15" hidden="false" customHeight="true" outlineLevel="0" collapsed="false">
      <c r="A90" s="1" t="n">
        <v>84</v>
      </c>
      <c r="B90" s="1" t="str">
        <f aca="false">Wording_Ranks!B85</f>
        <v>Benign Spinal Cord Tumour</v>
      </c>
      <c r="C90" s="1" t="str">
        <f aca="false">Wording_Ranks!C85</f>
        <v>Neurological / Oncology</v>
      </c>
      <c r="D90" s="1" t="str">
        <f aca="false">Wording_Ranks!D85</f>
        <v>Rare</v>
      </c>
      <c r="E90" s="1" t="str">
        <f aca="false">Wording_Ranks!F85</f>
        <v>Full</v>
      </c>
      <c r="F90" s="1" t="str">
        <f aca="false">Wording_Ranks!H85</f>
        <v>Full</v>
      </c>
      <c r="G90" s="1" t="str">
        <f aca="false">Wording_Ranks!J85</f>
        <v>Full</v>
      </c>
      <c r="H90" s="1" t="str">
        <f aca="false">Wording_Ranks!M85</f>
        <v>Full</v>
      </c>
      <c r="I90" s="1" t="str">
        <f aca="false">Wording_Ranks!O85</f>
        <v>Full</v>
      </c>
      <c r="J90" s="98" t="n">
        <f aca="false">IF(OR($E90="Not covered",$E90="Child-only"),0,IF($E90="Full",1,IF($E90="Ancillary",MAX(0.1,MIN(0.5,IF($AN$7="",0.5*$C$4,$AN$7)/$C$4)),MIN(0.5,IF($AN$7="",0.5*$C$4,$AN$7)/$C$4))))</f>
        <v>1</v>
      </c>
      <c r="K90" s="98" t="n">
        <f aca="false">IF(OR($F90="Not covered",$F90="Child-only"),0,IF($F90="Full",1,IF($AD90="Y",$AE90,IF($F90="Ancillary",MAX(0.1,MIN(0.5,IF($AO$7="",0.5*$C$4,$AO$7)/$C$4)),MIN(0.5,IF($AO$7="",0.5*$C$4,$AO$7)/$C$4)))))</f>
        <v>1</v>
      </c>
      <c r="L90" s="98" t="n">
        <f aca="false">IF(OR($G90="Not covered",$G90="Child-only"),0,IF($G90="Full",1,IF($G90="Ancillary",MAX(0.1,MIN(0.5,IF($AS90&lt;&gt;"",$AS90,IF($AP$7="",0.5*$C$4,$AP$7))/$C$4)),MIN(0.5,IF($AS90&lt;&gt;"",$AS90,IF($AP$7="",0.5*$C$4,$AP$7))/$C$4))))</f>
        <v>1</v>
      </c>
      <c r="M90" s="98" t="n">
        <f aca="false">IF(OR($H90="Not covered",$H90="Child-only"),0,IF($H90="Full",1,IF($H90="Ancillary",MAX(0.1,MIN(0.5,IF($AM90&lt;&gt;"",$AM90,IF($AQ$7="",0.5*$C$4,$AQ$7))/$C$4)),MIN(0.5,IF($AM90&lt;&gt;"",$AM90,IF($AQ$7="",0.5*$C$4,$AQ$7))/$C$4))))</f>
        <v>1</v>
      </c>
      <c r="N90" s="98" t="n">
        <f aca="false">IF(OR($I90="Not covered",$I90="Child-only"),0,IF($I90="Full",1,IF($I90="Ancillary",MAX(0.1,MIN(0.5,IF($AR$7="",0.5*$C$4,$AR$7)/$C$4)),MIN(0.5,IF($AR$7="",0.5*$C$4,$AR$7)/$C$4))))</f>
        <v>1</v>
      </c>
      <c r="P90" s="1" t="str">
        <f aca="false">IF(O90="","",1-EXP(-O90/100000))</f>
        <v/>
      </c>
      <c r="R90" s="1" t="s">
        <v>822</v>
      </c>
      <c r="S90" s="1" t="str">
        <f aca="false">IF($P90="","",$P90*J90*$C$4*$C$5)</f>
        <v/>
      </c>
      <c r="T90" s="1" t="str">
        <f aca="false">IF($P90="","",$P90*K90*$C$4*$C$5)</f>
        <v/>
      </c>
      <c r="U90" s="1" t="str">
        <f aca="false">IF($P90="","",$P90*L90*$C$4*$C$5)</f>
        <v/>
      </c>
      <c r="V90" s="1" t="str">
        <f aca="false">IF($P90="","",$P90*M90*$C$4*$C$5)</f>
        <v/>
      </c>
      <c r="W90" s="1" t="str">
        <f aca="false">IF($P90="","",$P90*N90*$C$4*$C$5)</f>
        <v/>
      </c>
      <c r="X90" s="1" t="str">
        <f aca="false">IF(S90="","",S90/$E$7)</f>
        <v/>
      </c>
      <c r="Y90" s="1" t="str">
        <f aca="false">IF(T90="","",T90/$F$7)</f>
        <v/>
      </c>
      <c r="Z90" s="1" t="str">
        <f aca="false">IF(U90="","",U90/$G$7)</f>
        <v/>
      </c>
      <c r="AA90" s="1" t="str">
        <f aca="false">IF(V90="","",V90/$H$7)</f>
        <v/>
      </c>
      <c r="AB90" s="1" t="str">
        <f aca="false">IF(W90="","",W90/$I$7)</f>
        <v/>
      </c>
      <c r="AC90" s="1" t="str">
        <f aca="false">IF(COUNTIF(X90:AB90,"&gt;="&amp;$C$6)&gt;0,"PROMOTE","")</f>
        <v/>
      </c>
      <c r="AD90" s="1" t="str">
        <f aca="false">IF(COUNTIF(Sources_06!$B$33:$B$73,A90)&gt;0,"Y","")</f>
        <v/>
      </c>
      <c r="AE90" s="1" t="str">
        <f aca="false">IF(AD90="Y",MIN(0.5,Sources_06!$D$11/$C$4),"")</f>
        <v/>
      </c>
    </row>
    <row r="91" customFormat="false" ht="15" hidden="false" customHeight="true" outlineLevel="0" collapsed="false">
      <c r="A91" s="1" t="n">
        <v>85</v>
      </c>
      <c r="B91" s="1" t="str">
        <f aca="false">Wording_Ranks!B86</f>
        <v>Pituitary Gland Tumour</v>
      </c>
      <c r="C91" s="1" t="str">
        <f aca="false">Wording_Ranks!C86</f>
        <v>Neurological / Oncology</v>
      </c>
      <c r="D91" s="1" t="str">
        <f aca="false">Wording_Ranks!D86</f>
        <v>Rare</v>
      </c>
      <c r="E91" s="1" t="str">
        <f aca="false">Wording_Ranks!F86</f>
        <v>Partial</v>
      </c>
      <c r="F91" s="1" t="str">
        <f aca="false">Wording_Ranks!H86</f>
        <v>Partial</v>
      </c>
      <c r="G91" s="1" t="str">
        <f aca="false">Wording_Ranks!J86</f>
        <v>Partial</v>
      </c>
      <c r="H91" s="1" t="str">
        <f aca="false">Wording_Ranks!M86</f>
        <v>Partial</v>
      </c>
      <c r="I91" s="1" t="str">
        <f aca="false">Wording_Ranks!O86</f>
        <v>Partial</v>
      </c>
      <c r="J91" s="98" t="n">
        <f aca="false">IF(OR($E91="Not covered",$E91="Child-only"),0,IF($E91="Full",1,IF($E91="Ancillary",MAX(0.1,MIN(0.5,IF($AN$7="",0.5*$C$4,$AN$7)/$C$4)),MIN(0.5,IF($AN$7="",0.5*$C$4,$AN$7)/$C$4))))</f>
        <v>0.124223602484472</v>
      </c>
      <c r="K91" s="98" t="n">
        <f aca="false">IF(OR($F91="Not covered",$F91="Child-only"),0,IF($F91="Full",1,IF($AD91="Y",$AE91,IF($F91="Ancillary",MAX(0.1,MIN(0.5,IF($AO$7="",0.5*$C$4,$AO$7)/$C$4)),MIN(0.5,IF($AO$7="",0.5*$C$4,$AO$7)/$C$4)))))</f>
        <v>0.093167701863354</v>
      </c>
      <c r="L91" s="98" t="n">
        <f aca="false">IF(OR($G91="Not covered",$G91="Child-only"),0,IF($G91="Full",1,IF($G91="Ancillary",MAX(0.1,MIN(0.5,IF($AS91&lt;&gt;"",$AS91,IF($AP$7="",0.5*$C$4,$AP$7))/$C$4)),MIN(0.5,IF($AS91&lt;&gt;"",$AS91,IF($AP$7="",0.5*$C$4,$AP$7))/$C$4))))</f>
        <v>0.093167701863354</v>
      </c>
      <c r="M91" s="98" t="n">
        <f aca="false">IF(OR($H91="Not covered",$H91="Child-only"),0,IF($H91="Full",1,IF($H91="Ancillary",MAX(0.1,MIN(0.5,IF($AM91&lt;&gt;"",$AM91,IF($AQ$7="",0.5*$C$4,$AQ$7))/$C$4)),MIN(0.5,IF($AM91&lt;&gt;"",$AM91,IF($AQ$7="",0.5*$C$4,$AQ$7))/$C$4))))</f>
        <v>0.093167701863354</v>
      </c>
      <c r="N91" s="98" t="n">
        <f aca="false">IF(OR($I91="Not covered",$I91="Child-only"),0,IF($I91="Full",1,IF($I91="Ancillary",MAX(0.1,MIN(0.5,IF($AR$7="",0.5*$C$4,$AR$7)/$C$4)),MIN(0.5,IF($AR$7="",0.5*$C$4,$AR$7)/$C$4))))</f>
        <v>0.093167701863354</v>
      </c>
      <c r="O91" s="1" t="n">
        <f aca="false">IF(OR($AF$7="",$AG$7=""),"",MAX(AF91/$AF$7,AG91/$AG$7)*100000*IF(AI91="",1,AI91))</f>
        <v>1717.79776733455</v>
      </c>
      <c r="P91" s="1" t="n">
        <f aca="false">IF(O91="","",1-EXP(-O91/100000))</f>
        <v>0.0170312774205144</v>
      </c>
      <c r="Q91" s="1" t="s">
        <v>965</v>
      </c>
      <c r="R91" s="1" t="s">
        <v>1137</v>
      </c>
      <c r="S91" s="1" t="n">
        <f aca="false">IF($P91="","",$P91*J91*$C$4*$C$5)</f>
        <v>6676.41108374681</v>
      </c>
      <c r="T91" s="1" t="n">
        <f aca="false">IF($P91="","",$P91*K91*$C$4*$C$5)</f>
        <v>5007.30831281011</v>
      </c>
      <c r="U91" s="1" t="n">
        <f aca="false">IF($P91="","",$P91*L91*$C$4*$C$5)</f>
        <v>5007.30831281011</v>
      </c>
      <c r="V91" s="1" t="n">
        <f aca="false">IF($P91="","",$P91*M91*$C$4*$C$5)</f>
        <v>5007.30831281011</v>
      </c>
      <c r="W91" s="1" t="n">
        <f aca="false">IF($P91="","",$P91*N91*$C$4*$C$5)</f>
        <v>5007.30831281011</v>
      </c>
      <c r="X91" s="1" t="n">
        <f aca="false">IF(S91="","",S91/$E$7)</f>
        <v>0.41593857643195</v>
      </c>
      <c r="Y91" s="1" t="n">
        <f aca="false">IF(T91="","",T91/$F$7)</f>
        <v>0.457039216065444</v>
      </c>
      <c r="Z91" s="1" t="n">
        <f aca="false">IF(U91="","",U91/$G$7)</f>
        <v>0.82803710305095</v>
      </c>
      <c r="AA91" s="1" t="n">
        <f aca="false">IF(V91="","",V91/$H$7)</f>
        <v>0.352137285857342</v>
      </c>
      <c r="AB91" s="1" t="n">
        <f aca="false">IF(W91="","",W91/$I$7)</f>
        <v>0.33206899457652</v>
      </c>
      <c r="AC91" s="1" t="str">
        <f aca="false">IF(COUNTIF(X91:AB91,"&gt;="&amp;$C$6)&gt;0,"PROMOTE","")</f>
        <v>PROMOTE</v>
      </c>
      <c r="AD91" s="1" t="str">
        <f aca="false">IF(COUNTIF(Sources_06!$B$33:$B$73,A91)&gt;0,"Y","")</f>
        <v>Y</v>
      </c>
      <c r="AE91" s="1" t="n">
        <f aca="false">IF(AD91="Y",MIN(0.5,Sources_06!$D$11/$C$4),"")</f>
        <v>0.093167701863354</v>
      </c>
      <c r="AF91" s="1" t="n">
        <v>11933</v>
      </c>
      <c r="AG91" s="1" t="n">
        <v>22217</v>
      </c>
      <c r="AH91" s="1" t="s">
        <v>1166</v>
      </c>
      <c r="AJ91" s="1" t="s">
        <v>1167</v>
      </c>
    </row>
    <row r="92" customFormat="false" ht="15" hidden="false" customHeight="true" outlineLevel="0" collapsed="false">
      <c r="A92" s="1" t="n">
        <v>86</v>
      </c>
      <c r="B92" s="1" t="str">
        <f aca="false">Wording_Ranks!B87</f>
        <v>Traumatic Brain / Head Injury – Resulting in Permanent Symptoms</v>
      </c>
      <c r="C92" s="1" t="str">
        <f aca="false">Wording_Ranks!C87</f>
        <v>Neurological / Trauma</v>
      </c>
      <c r="D92" s="1" t="str">
        <f aca="false">Wording_Ranks!D87</f>
        <v>Low</v>
      </c>
      <c r="E92" s="1" t="str">
        <f aca="false">Wording_Ranks!F87</f>
        <v>Full</v>
      </c>
      <c r="F92" s="1" t="str">
        <f aca="false">Wording_Ranks!H87</f>
        <v>Full</v>
      </c>
      <c r="G92" s="1" t="str">
        <f aca="false">Wording_Ranks!J87</f>
        <v>Full</v>
      </c>
      <c r="H92" s="1" t="str">
        <f aca="false">Wording_Ranks!M87</f>
        <v>Full</v>
      </c>
      <c r="I92" s="1" t="str">
        <f aca="false">Wording_Ranks!O87</f>
        <v>Full</v>
      </c>
      <c r="J92" s="98" t="n">
        <f aca="false">IF(OR($E92="Not covered",$E92="Child-only"),0,IF($E92="Full",1,IF($E92="Ancillary",MAX(0.1,MIN(0.5,IF($AN$7="",0.5*$C$4,$AN$7)/$C$4)),MIN(0.5,IF($AN$7="",0.5*$C$4,$AN$7)/$C$4))))</f>
        <v>1</v>
      </c>
      <c r="K92" s="98" t="n">
        <f aca="false">IF(OR($F92="Not covered",$F92="Child-only"),0,IF($F92="Full",1,IF($AD92="Y",$AE92,IF($F92="Ancillary",MAX(0.1,MIN(0.5,IF($AO$7="",0.5*$C$4,$AO$7)/$C$4)),MIN(0.5,IF($AO$7="",0.5*$C$4,$AO$7)/$C$4)))))</f>
        <v>1</v>
      </c>
      <c r="L92" s="98" t="n">
        <f aca="false">IF(OR($G92="Not covered",$G92="Child-only"),0,IF($G92="Full",1,IF($G92="Ancillary",MAX(0.1,MIN(0.5,IF($AS92&lt;&gt;"",$AS92,IF($AP$7="",0.5*$C$4,$AP$7))/$C$4)),MIN(0.5,IF($AS92&lt;&gt;"",$AS92,IF($AP$7="",0.5*$C$4,$AP$7))/$C$4))))</f>
        <v>1</v>
      </c>
      <c r="M92" s="98" t="n">
        <f aca="false">IF(OR($H92="Not covered",$H92="Child-only"),0,IF($H92="Full",1,IF($H92="Ancillary",MAX(0.1,MIN(0.5,IF($AM92&lt;&gt;"",$AM92,IF($AQ$7="",0.5*$C$4,$AQ$7))/$C$4)),MIN(0.5,IF($AM92&lt;&gt;"",$AM92,IF($AQ$7="",0.5*$C$4,$AQ$7))/$C$4))))</f>
        <v>1</v>
      </c>
      <c r="N92" s="98" t="n">
        <f aca="false">IF(OR($I92="Not covered",$I92="Child-only"),0,IF($I92="Full",1,IF($I92="Ancillary",MAX(0.1,MIN(0.5,IF($AR$7="",0.5*$C$4,$AR$7)/$C$4)),MIN(0.5,IF($AR$7="",0.5*$C$4,$AR$7)/$C$4))))</f>
        <v>1</v>
      </c>
      <c r="O92" s="1" t="n">
        <f aca="false">IF(OR($AF$7="",$AG$7=""),"",MAX(AF92/$AF$7,AG92/$AG$7)*100000*IF(AI92="",1,AI92))</f>
        <v>107.550825690343</v>
      </c>
      <c r="P92" s="1" t="n">
        <f aca="false">IF(O92="","",1-EXP(-O92/100000))</f>
        <v>0.00107493010518567</v>
      </c>
      <c r="Q92" s="1" t="s">
        <v>965</v>
      </c>
      <c r="R92" s="1" t="s">
        <v>1137</v>
      </c>
      <c r="S92" s="1" t="n">
        <f aca="false">IF($P92="","",$P92*J92*$C$4*$C$5)</f>
        <v>3392.12582151684</v>
      </c>
      <c r="T92" s="1" t="n">
        <f aca="false">IF($P92="","",$P92*K92*$C$4*$C$5)</f>
        <v>3392.12582151684</v>
      </c>
      <c r="U92" s="1" t="n">
        <f aca="false">IF($P92="","",$P92*L92*$C$4*$C$5)</f>
        <v>3392.12582151684</v>
      </c>
      <c r="V92" s="1" t="n">
        <f aca="false">IF($P92="","",$P92*M92*$C$4*$C$5)</f>
        <v>3392.12582151684</v>
      </c>
      <c r="W92" s="1" t="n">
        <f aca="false">IF($P92="","",$P92*N92*$C$4*$C$5)</f>
        <v>3392.12582151684</v>
      </c>
      <c r="X92" s="1" t="n">
        <f aca="false">IF(S92="","",S92/$E$7)</f>
        <v>0.211328506825252</v>
      </c>
      <c r="Y92" s="1" t="n">
        <f aca="false">IF(T92="","",T92/$F$7)</f>
        <v>0.309614353543043</v>
      </c>
      <c r="Z92" s="1" t="n">
        <f aca="false">IF(U92="","",U92/$G$7)</f>
        <v>0.560941300787773</v>
      </c>
      <c r="AA92" s="1" t="n">
        <f aca="false">IF(V92="","",V92/$H$7)</f>
        <v>0.238550116241034</v>
      </c>
      <c r="AB92" s="1" t="n">
        <f aca="false">IF(W92="","",W92/$I$7)</f>
        <v>0.224955153679363</v>
      </c>
      <c r="AC92" s="1" t="str">
        <f aca="false">IF(COUNTIF(X92:AB92,"&gt;="&amp;$C$6)&gt;0,"PROMOTE","")</f>
        <v>PROMOTE</v>
      </c>
      <c r="AD92" s="1" t="str">
        <f aca="false">IF(COUNTIF(Sources_06!$B$33:$B$73,A92)&gt;0,"Y","")</f>
        <v/>
      </c>
      <c r="AE92" s="1" t="str">
        <f aca="false">IF(AD92="Y",MIN(0.5,Sources_06!$D$11/$C$4),"")</f>
        <v/>
      </c>
      <c r="AF92" s="1" t="n">
        <v>1381</v>
      </c>
      <c r="AG92" s="1" t="n">
        <v>1391</v>
      </c>
      <c r="AH92" s="1" t="s">
        <v>1168</v>
      </c>
      <c r="AJ92" s="1" t="s">
        <v>1169</v>
      </c>
    </row>
    <row r="93" customFormat="false" ht="15" hidden="false" customHeight="true" outlineLevel="0" collapsed="false">
      <c r="A93" s="1" t="n">
        <v>88</v>
      </c>
      <c r="B93" s="1" t="str">
        <f aca="false">Wording_Ranks!B89</f>
        <v>Carcinoma in Situ – Anus</v>
      </c>
      <c r="C93" s="1" t="str">
        <f aca="false">Wording_Ranks!C89</f>
        <v>Oncology / Cancer</v>
      </c>
      <c r="D93" s="1" t="str">
        <f aca="false">Wording_Ranks!D89</f>
        <v>Low</v>
      </c>
      <c r="E93" s="1" t="str">
        <f aca="false">Wording_Ranks!F89</f>
        <v>Partial</v>
      </c>
      <c r="F93" s="1" t="str">
        <f aca="false">Wording_Ranks!H89</f>
        <v>Partial</v>
      </c>
      <c r="G93" s="1" t="str">
        <f aca="false">Wording_Ranks!J89</f>
        <v>Not covered</v>
      </c>
      <c r="H93" s="1" t="str">
        <f aca="false">Wording_Ranks!M89</f>
        <v>Partial</v>
      </c>
      <c r="I93" s="1" t="str">
        <f aca="false">Wording_Ranks!O89</f>
        <v>Not covered</v>
      </c>
      <c r="J93" s="98" t="n">
        <f aca="false">IF(OR($E93="Not covered",$E93="Child-only"),0,IF($E93="Full",1,IF($E93="Ancillary",MAX(0.1,MIN(0.5,IF($AN$7="",0.5*$C$4,$AN$7)/$C$4)),MIN(0.5,IF($AN$7="",0.5*$C$4,$AN$7)/$C$4))))</f>
        <v>0.124223602484472</v>
      </c>
      <c r="K93" s="98" t="n">
        <f aca="false">IF(OR($F93="Not covered",$F93="Child-only"),0,IF($F93="Full",1,IF($AD93="Y",$AE93,IF($F93="Ancillary",MAX(0.1,MIN(0.5,IF($AO$7="",0.5*$C$4,$AO$7)/$C$4)),MIN(0.5,IF($AO$7="",0.5*$C$4,$AO$7)/$C$4)))))</f>
        <v>0.093167701863354</v>
      </c>
      <c r="L93" s="98" t="n">
        <f aca="false">IF(OR($G93="Not covered",$G93="Child-only"),0,IF($G93="Full",1,IF($G93="Ancillary",MAX(0.1,MIN(0.5,IF($AS93&lt;&gt;"",$AS93,IF($AP$7="",0.5*$C$4,$AP$7))/$C$4)),MIN(0.5,IF($AS93&lt;&gt;"",$AS93,IF($AP$7="",0.5*$C$4,$AP$7))/$C$4))))</f>
        <v>0</v>
      </c>
      <c r="M93" s="98" t="n">
        <f aca="false">IF(OR($H93="Not covered",$H93="Child-only"),0,IF($H93="Full",1,IF($H93="Ancillary",MAX(0.1,MIN(0.5,IF($AM93&lt;&gt;"",$AM93,IF($AQ$7="",0.5*$C$4,$AQ$7))/$C$4)),MIN(0.5,IF($AM93&lt;&gt;"",$AM93,IF($AQ$7="",0.5*$C$4,$AQ$7))/$C$4))))</f>
        <v>0.093167701863354</v>
      </c>
      <c r="N93" s="98" t="n">
        <f aca="false">IF($AT93&lt;&gt;"",$AT93,IF(OR($I93="Not covered",$I93="Child-only"),0,IF($I93="Full",1,MIN(0.5,IF($AR$7="",0.5*$C$4,$AR$7)/$C$4))))</f>
        <v>0.093167701863354</v>
      </c>
      <c r="O93" s="1" t="n">
        <f aca="false">IF(OR($AF$7="",$AG$7=""),"",MAX(AF93/$AF$7,AG93/$AG$7)*100000*IF(AI93="",1,AI93))</f>
        <v>327.059664033179</v>
      </c>
      <c r="P93" s="1" t="n">
        <f aca="false">IF(O93="","",1-EXP(-O93/100000))</f>
        <v>0.00326525406519651</v>
      </c>
      <c r="Q93" s="1" t="s">
        <v>965</v>
      </c>
      <c r="R93" s="1" t="s">
        <v>1137</v>
      </c>
      <c r="S93" s="1" t="n">
        <f aca="false">IF($P93="","",$P93*J93*$C$4*$C$5)</f>
        <v>1280.00841592004</v>
      </c>
      <c r="T93" s="1" t="n">
        <f aca="false">IF($P93="","",$P93*K93*$C$4*$C$5)</f>
        <v>960.006311940029</v>
      </c>
      <c r="U93" s="1" t="n">
        <f aca="false">IF($P93="","",$P93*L93*$C$4*$C$5)</f>
        <v>0</v>
      </c>
      <c r="V93" s="1" t="n">
        <f aca="false">IF($P93="","",$P93*M93*$C$4*$C$5)</f>
        <v>960.006311940029</v>
      </c>
      <c r="W93" s="1" t="n">
        <f aca="false">IF($P93="","",$P93*N93*$C$4*$C$5)</f>
        <v>960.006311940029</v>
      </c>
      <c r="X93" s="1" t="n">
        <f aca="false">IF(S93="","",S93/$E$7)</f>
        <v>0.0797441726790602</v>
      </c>
      <c r="Y93" s="1" t="n">
        <f aca="false">IF(T93="","",T93/$F$7)</f>
        <v>0.0876240296816706</v>
      </c>
      <c r="Z93" s="1" t="n">
        <f aca="false">IF(U93="","",U93/$G$7)</f>
        <v>0</v>
      </c>
      <c r="AA93" s="1" t="n">
        <f aca="false">IF(V93="","",V93/$H$7)</f>
        <v>0.0675121234751297</v>
      </c>
      <c r="AB93" s="1" t="n">
        <f aca="false">IF(W93="","",W93/$I$7)</f>
        <v>0.0636646099816718</v>
      </c>
      <c r="AC93" s="1" t="str">
        <f aca="false">IF(COUNTIF(X93:AB93,"&gt;="&amp;$C$6)&gt;0,"PROMOTE","")</f>
        <v>PROMOTE</v>
      </c>
      <c r="AD93" s="1" t="str">
        <f aca="false">IF(COUNTIF(Sources_06!$B$33:$B$73,A93)&gt;0,"Y","")</f>
        <v>Y</v>
      </c>
      <c r="AE93" s="1" t="n">
        <f aca="false">IF(AD93="Y",MIN(0.5,Sources_06!$D$11/$C$4),"")</f>
        <v>0.093167701863354</v>
      </c>
      <c r="AF93" s="1" t="n">
        <v>669</v>
      </c>
      <c r="AG93" s="1" t="n">
        <v>4230</v>
      </c>
      <c r="AH93" s="1" t="s">
        <v>1170</v>
      </c>
      <c r="AJ93" s="1" t="s">
        <v>1171</v>
      </c>
      <c r="AT93" s="1" t="n">
        <v>0.093167701863354</v>
      </c>
    </row>
    <row r="94" customFormat="false" ht="15" hidden="false" customHeight="true" outlineLevel="0" collapsed="false">
      <c r="A94" s="1" t="n">
        <v>89</v>
      </c>
      <c r="B94" s="1" t="str">
        <f aca="false">Wording_Ranks!B90</f>
        <v>Carcinoma in Situ – Bile Ducts</v>
      </c>
      <c r="C94" s="1" t="str">
        <f aca="false">Wording_Ranks!C90</f>
        <v>Oncology / Cancer</v>
      </c>
      <c r="D94" s="1" t="str">
        <f aca="false">Wording_Ranks!D90</f>
        <v>Low</v>
      </c>
      <c r="E94" s="1" t="str">
        <f aca="false">Wording_Ranks!F90</f>
        <v>Partial</v>
      </c>
      <c r="F94" s="1" t="str">
        <f aca="false">Wording_Ranks!H90</f>
        <v>Not covered</v>
      </c>
      <c r="G94" s="1" t="str">
        <f aca="false">Wording_Ranks!J90</f>
        <v>Not covered</v>
      </c>
      <c r="H94" s="1" t="str">
        <f aca="false">Wording_Ranks!M90</f>
        <v>Partial</v>
      </c>
      <c r="I94" s="1" t="str">
        <f aca="false">Wording_Ranks!O90</f>
        <v>Not covered</v>
      </c>
      <c r="J94" s="98" t="n">
        <f aca="false">IF(OR($E94="Not covered",$E94="Child-only"),0,IF($E94="Full",1,IF($E94="Ancillary",MAX(0.1,MIN(0.5,IF($AN$7="",0.5*$C$4,$AN$7)/$C$4)),MIN(0.5,IF($AN$7="",0.5*$C$4,$AN$7)/$C$4))))</f>
        <v>0.124223602484472</v>
      </c>
      <c r="K94" s="98" t="n">
        <f aca="false">IF(OR($F94="Not covered",$F94="Child-only"),0,IF($F94="Full",1,IF($AD94="Y",$AE94,IF($F94="Ancillary",MAX(0.1,MIN(0.5,IF($AO$7="",0.5*$C$4,$AO$7)/$C$4)),MIN(0.5,IF($AO$7="",0.5*$C$4,$AO$7)/$C$4)))))</f>
        <v>0</v>
      </c>
      <c r="L94" s="98" t="n">
        <f aca="false">IF(OR($G94="Not covered",$G94="Child-only"),0,IF($G94="Full",1,IF($G94="Ancillary",MAX(0.1,MIN(0.5,IF($AS94&lt;&gt;"",$AS94,IF($AP$7="",0.5*$C$4,$AP$7))/$C$4)),MIN(0.5,IF($AS94&lt;&gt;"",$AS94,IF($AP$7="",0.5*$C$4,$AP$7))/$C$4))))</f>
        <v>0</v>
      </c>
      <c r="M94" s="98" t="n">
        <f aca="false">IF(OR($H94="Not covered",$H94="Child-only"),0,IF($H94="Full",1,IF($H94="Ancillary",MAX(0.1,MIN(0.5,IF($AM94&lt;&gt;"",$AM94,IF($AQ$7="",0.5*$C$4,$AQ$7))/$C$4)),MIN(0.5,IF($AM94&lt;&gt;"",$AM94,IF($AQ$7="",0.5*$C$4,$AQ$7))/$C$4))))</f>
        <v>0.093167701863354</v>
      </c>
      <c r="N94" s="98" t="n">
        <f aca="false">IF($AT94&lt;&gt;"",$AT94,IF(OR($I94="Not covered",$I94="Child-only"),0,IF($I94="Full",1,MIN(0.5,IF($AR$7="",0.5*$C$4,$AR$7)/$C$4))))</f>
        <v>0.093167701863354</v>
      </c>
      <c r="O94" s="1" t="n">
        <f aca="false">IF(OR($AF$7="",$AG$7=""),"",MAX(AF94/$AF$7,AG94/$AG$7)*100000*IF(AI94="",1,AI94))</f>
        <v>327.059664033179</v>
      </c>
      <c r="P94" s="1" t="n">
        <f aca="false">IF(O94="","",1-EXP(-O94/100000))</f>
        <v>0.00326525406519651</v>
      </c>
      <c r="Q94" s="1" t="s">
        <v>965</v>
      </c>
      <c r="R94" s="1" t="s">
        <v>1137</v>
      </c>
      <c r="S94" s="1" t="n">
        <f aca="false">IF($P94="","",$P94*J94*$C$4*$C$5)</f>
        <v>1280.00841592004</v>
      </c>
      <c r="T94" s="1" t="n">
        <f aca="false">IF($P94="","",$P94*K94*$C$4*$C$5)</f>
        <v>0</v>
      </c>
      <c r="U94" s="1" t="n">
        <f aca="false">IF($P94="","",$P94*L94*$C$4*$C$5)</f>
        <v>0</v>
      </c>
      <c r="V94" s="1" t="n">
        <f aca="false">IF($P94="","",$P94*M94*$C$4*$C$5)</f>
        <v>960.006311940029</v>
      </c>
      <c r="W94" s="1" t="n">
        <f aca="false">IF($P94="","",$P94*N94*$C$4*$C$5)</f>
        <v>960.006311940029</v>
      </c>
      <c r="X94" s="1" t="n">
        <f aca="false">IF(S94="","",S94/$E$7)</f>
        <v>0.0797441726790602</v>
      </c>
      <c r="Y94" s="1" t="n">
        <f aca="false">IF(T94="","",T94/$F$7)</f>
        <v>0</v>
      </c>
      <c r="Z94" s="1" t="n">
        <f aca="false">IF(U94="","",U94/$G$7)</f>
        <v>0</v>
      </c>
      <c r="AA94" s="1" t="n">
        <f aca="false">IF(V94="","",V94/$H$7)</f>
        <v>0.0675121234751297</v>
      </c>
      <c r="AB94" s="1" t="n">
        <f aca="false">IF(W94="","",W94/$I$7)</f>
        <v>0.0636646099816718</v>
      </c>
      <c r="AC94" s="1" t="str">
        <f aca="false">IF(COUNTIF(X94:AB94,"&gt;="&amp;$C$6)&gt;0,"PROMOTE","")</f>
        <v>PROMOTE</v>
      </c>
      <c r="AD94" s="1" t="str">
        <f aca="false">IF(COUNTIF(Sources_06!$B$33:$B$73,A94)&gt;0,"Y","")</f>
        <v/>
      </c>
      <c r="AE94" s="1" t="str">
        <f aca="false">IF(AD94="Y",MIN(0.5,Sources_06!$D$11/$C$4),"")</f>
        <v/>
      </c>
      <c r="AF94" s="1" t="n">
        <v>669</v>
      </c>
      <c r="AG94" s="1" t="n">
        <v>4230</v>
      </c>
      <c r="AH94" s="1" t="s">
        <v>1170</v>
      </c>
      <c r="AJ94" s="1" t="s">
        <v>1171</v>
      </c>
      <c r="AT94" s="1" t="n">
        <v>0.093167701863354</v>
      </c>
    </row>
    <row r="95" customFormat="false" ht="15" hidden="false" customHeight="true" outlineLevel="0" collapsed="false">
      <c r="A95" s="1" t="n">
        <v>91</v>
      </c>
      <c r="B95" s="1" t="str">
        <f aca="false">Wording_Ranks!B92</f>
        <v>Carcinoma in Situ – Cervix</v>
      </c>
      <c r="C95" s="1" t="str">
        <f aca="false">Wording_Ranks!C92</f>
        <v>Oncology / Cancer</v>
      </c>
      <c r="D95" s="1" t="str">
        <f aca="false">Wording_Ranks!D92</f>
        <v>Medium</v>
      </c>
      <c r="E95" s="1" t="str">
        <f aca="false">Wording_Ranks!F92</f>
        <v>Partial</v>
      </c>
      <c r="F95" s="1" t="str">
        <f aca="false">Wording_Ranks!H92</f>
        <v>Partial</v>
      </c>
      <c r="G95" s="1" t="str">
        <f aca="false">Wording_Ranks!J92</f>
        <v>Partial</v>
      </c>
      <c r="H95" s="1" t="str">
        <f aca="false">Wording_Ranks!M92</f>
        <v>Partial</v>
      </c>
      <c r="I95" s="1" t="str">
        <f aca="false">Wording_Ranks!O92</f>
        <v>Not covered</v>
      </c>
      <c r="J95" s="98" t="n">
        <f aca="false">IF(OR($E95="Not covered",$E95="Child-only"),0,IF($E95="Full",1,IF($E95="Ancillary",MAX(0.1,MIN(0.5,IF($AN$7="",0.5*$C$4,$AN$7)/$C$4)),MIN(0.5,IF($AN$7="",0.5*$C$4,$AN$7)/$C$4))))</f>
        <v>0.124223602484472</v>
      </c>
      <c r="K95" s="98" t="n">
        <f aca="false">IF(OR($F95="Not covered",$F95="Child-only"),0,IF($F95="Full",1,IF($AD95="Y",$AE95,IF($F95="Ancillary",MAX(0.1,MIN(0.5,IF($AO$7="",0.5*$C$4,$AO$7)/$C$4)),MIN(0.5,IF($AO$7="",0.5*$C$4,$AO$7)/$C$4)))))</f>
        <v>0.093167701863354</v>
      </c>
      <c r="L95" s="98" t="n">
        <f aca="false">IF(OR($G95="Not covered",$G95="Child-only"),0,IF($G95="Full",1,IF($G95="Ancillary",MAX(0.1,MIN(0.5,IF($AS95&lt;&gt;"",$AS95,IF($AP$7="",0.5*$C$4,$AP$7))/$C$4)),MIN(0.5,IF($AS95&lt;&gt;"",$AS95,IF($AP$7="",0.5*$C$4,$AP$7))/$C$4))))</f>
        <v>0.093167701863354</v>
      </c>
      <c r="M95" s="98" t="n">
        <f aca="false">IF(OR($H95="Not covered",$H95="Child-only"),0,IF($H95="Full",1,IF($H95="Ancillary",MAX(0.1,MIN(0.5,IF($AM95&lt;&gt;"",$AM95,IF($AQ$7="",0.5*$C$4,$AQ$7))/$C$4)),MIN(0.5,IF($AM95&lt;&gt;"",$AM95,IF($AQ$7="",0.5*$C$4,$AQ$7))/$C$4))))</f>
        <v>0.093167701863354</v>
      </c>
      <c r="N95" s="98" t="n">
        <f aca="false">IF($AT95&lt;&gt;"",$AT95,IF(OR($I95="Not covered",$I95="Child-only"),0,IF($I95="Full",1,MIN(0.5,IF($AR$7="",0.5*$C$4,$AR$7)/$C$4))))</f>
        <v>0.093167701863354</v>
      </c>
      <c r="O95" s="1" t="n">
        <f aca="false">IF(OR($AF$7="",$AG$7=""),"",MAX(AF95/$AF$7,AG95/$AG$7)*100000*IF(AI95="",1,AI95))</f>
        <v>327.059664033179</v>
      </c>
      <c r="P95" s="1" t="n">
        <f aca="false">IF(O95="","",1-EXP(-O95/100000))</f>
        <v>0.00326525406519651</v>
      </c>
      <c r="Q95" s="1" t="s">
        <v>965</v>
      </c>
      <c r="R95" s="1" t="s">
        <v>1137</v>
      </c>
      <c r="S95" s="1" t="n">
        <f aca="false">IF($P95="","",$P95*J95*$C$4*$C$5)</f>
        <v>1280.00841592004</v>
      </c>
      <c r="T95" s="1" t="n">
        <f aca="false">IF($P95="","",$P95*K95*$C$4*$C$5)</f>
        <v>960.006311940029</v>
      </c>
      <c r="U95" s="1" t="n">
        <f aca="false">IF($P95="","",$P95*L95*$C$4*$C$5)</f>
        <v>960.006311940029</v>
      </c>
      <c r="V95" s="1" t="n">
        <f aca="false">IF($P95="","",$P95*M95*$C$4*$C$5)</f>
        <v>960.006311940029</v>
      </c>
      <c r="W95" s="1" t="n">
        <f aca="false">IF($P95="","",$P95*N95*$C$4*$C$5)</f>
        <v>960.006311940029</v>
      </c>
      <c r="X95" s="1" t="n">
        <f aca="false">IF(S95="","",S95/$E$7)</f>
        <v>0.0797441726790602</v>
      </c>
      <c r="Y95" s="1" t="n">
        <f aca="false">IF(T95="","",T95/$F$7)</f>
        <v>0.0876240296816706</v>
      </c>
      <c r="Z95" s="1" t="n">
        <f aca="false">IF(U95="","",U95/$G$7)</f>
        <v>0.158752127049141</v>
      </c>
      <c r="AA95" s="1" t="n">
        <f aca="false">IF(V95="","",V95/$H$7)</f>
        <v>0.0675121234751297</v>
      </c>
      <c r="AB95" s="1" t="n">
        <f aca="false">IF(W95="","",W95/$I$7)</f>
        <v>0.0636646099816718</v>
      </c>
      <c r="AC95" s="1" t="str">
        <f aca="false">IF(COUNTIF(X95:AB95,"&gt;="&amp;$C$6)&gt;0,"PROMOTE","")</f>
        <v>PROMOTE</v>
      </c>
      <c r="AD95" s="1" t="str">
        <f aca="false">IF(COUNTIF(Sources_06!$B$33:$B$73,A95)&gt;0,"Y","")</f>
        <v>Y</v>
      </c>
      <c r="AE95" s="1" t="n">
        <f aca="false">IF(AD95="Y",MIN(0.5,Sources_06!$D$11/$C$4),"")</f>
        <v>0.093167701863354</v>
      </c>
      <c r="AF95" s="1" t="n">
        <v>669</v>
      </c>
      <c r="AG95" s="1" t="n">
        <v>4230</v>
      </c>
      <c r="AH95" s="1" t="s">
        <v>1170</v>
      </c>
      <c r="AJ95" s="1" t="s">
        <v>1171</v>
      </c>
      <c r="AT95" s="1" t="n">
        <v>0.093167701863354</v>
      </c>
    </row>
    <row r="96" customFormat="false" ht="15" hidden="false" customHeight="true" outlineLevel="0" collapsed="false">
      <c r="A96" s="1" t="n">
        <v>92</v>
      </c>
      <c r="B96" s="1" t="str">
        <f aca="false">Wording_Ranks!B93</f>
        <v>Carcinoma in Situ – Colon or Rectum</v>
      </c>
      <c r="C96" s="1" t="str">
        <f aca="false">Wording_Ranks!C93</f>
        <v>Oncology / Cancer</v>
      </c>
      <c r="D96" s="1" t="str">
        <f aca="false">Wording_Ranks!D93</f>
        <v>Medium</v>
      </c>
      <c r="E96" s="1" t="str">
        <f aca="false">Wording_Ranks!F93</f>
        <v>Partial</v>
      </c>
      <c r="F96" s="1" t="str">
        <f aca="false">Wording_Ranks!H93</f>
        <v>Partial</v>
      </c>
      <c r="G96" s="1" t="str">
        <f aca="false">Wording_Ranks!J93</f>
        <v>Partial</v>
      </c>
      <c r="H96" s="1" t="str">
        <f aca="false">Wording_Ranks!M93</f>
        <v>Partial</v>
      </c>
      <c r="I96" s="1" t="str">
        <f aca="false">Wording_Ranks!O93</f>
        <v>Not covered</v>
      </c>
      <c r="J96" s="98" t="n">
        <f aca="false">IF(OR($E96="Not covered",$E96="Child-only"),0,IF($E96="Full",1,IF($E96="Ancillary",MAX(0.1,MIN(0.5,IF($AN$7="",0.5*$C$4,$AN$7)/$C$4)),MIN(0.5,IF($AN$7="",0.5*$C$4,$AN$7)/$C$4))))</f>
        <v>0.124223602484472</v>
      </c>
      <c r="K96" s="98" t="n">
        <f aca="false">IF(OR($F96="Not covered",$F96="Child-only"),0,IF($F96="Full",1,IF($AD96="Y",$AE96,IF($F96="Ancillary",MAX(0.1,MIN(0.5,IF($AO$7="",0.5*$C$4,$AO$7)/$C$4)),MIN(0.5,IF($AO$7="",0.5*$C$4,$AO$7)/$C$4)))))</f>
        <v>0.093167701863354</v>
      </c>
      <c r="L96" s="98" t="n">
        <f aca="false">IF(OR($G96="Not covered",$G96="Child-only"),0,IF($G96="Full",1,IF($G96="Ancillary",MAX(0.1,MIN(0.5,IF($AS96&lt;&gt;"",$AS96,IF($AP$7="",0.5*$C$4,$AP$7))/$C$4)),MIN(0.5,IF($AS96&lt;&gt;"",$AS96,IF($AP$7="",0.5*$C$4,$AP$7))/$C$4))))</f>
        <v>0.093167701863354</v>
      </c>
      <c r="M96" s="98" t="n">
        <f aca="false">IF(OR($H96="Not covered",$H96="Child-only"),0,IF($H96="Full",1,IF($H96="Ancillary",MAX(0.1,MIN(0.5,IF($AM96&lt;&gt;"",$AM96,IF($AQ$7="",0.5*$C$4,$AQ$7))/$C$4)),MIN(0.5,IF($AM96&lt;&gt;"",$AM96,IF($AQ$7="",0.5*$C$4,$AQ$7))/$C$4))))</f>
        <v>0.093167701863354</v>
      </c>
      <c r="N96" s="98" t="n">
        <f aca="false">IF($AT96&lt;&gt;"",$AT96,IF(OR($I96="Not covered",$I96="Child-only"),0,IF($I96="Full",1,MIN(0.5,IF($AR$7="",0.5*$C$4,$AR$7)/$C$4))))</f>
        <v>0.093167701863354</v>
      </c>
      <c r="O96" s="1" t="n">
        <f aca="false">IF(OR($AF$7="",$AG$7=""),"",MAX(AF96/$AF$7,AG96/$AG$7)*100000*IF(AI96="",1,AI96))</f>
        <v>327.059664033179</v>
      </c>
      <c r="P96" s="1" t="n">
        <f aca="false">IF(O96="","",1-EXP(-O96/100000))</f>
        <v>0.00326525406519651</v>
      </c>
      <c r="Q96" s="1" t="s">
        <v>965</v>
      </c>
      <c r="R96" s="1" t="s">
        <v>1137</v>
      </c>
      <c r="S96" s="1" t="n">
        <f aca="false">IF($P96="","",$P96*J96*$C$4*$C$5)</f>
        <v>1280.00841592004</v>
      </c>
      <c r="T96" s="1" t="n">
        <f aca="false">IF($P96="","",$P96*K96*$C$4*$C$5)</f>
        <v>960.006311940029</v>
      </c>
      <c r="U96" s="1" t="n">
        <f aca="false">IF($P96="","",$P96*L96*$C$4*$C$5)</f>
        <v>960.006311940029</v>
      </c>
      <c r="V96" s="1" t="n">
        <f aca="false">IF($P96="","",$P96*M96*$C$4*$C$5)</f>
        <v>960.006311940029</v>
      </c>
      <c r="W96" s="1" t="n">
        <f aca="false">IF($P96="","",$P96*N96*$C$4*$C$5)</f>
        <v>960.006311940029</v>
      </c>
      <c r="X96" s="1" t="n">
        <f aca="false">IF(S96="","",S96/$E$7)</f>
        <v>0.0797441726790602</v>
      </c>
      <c r="Y96" s="1" t="n">
        <f aca="false">IF(T96="","",T96/$F$7)</f>
        <v>0.0876240296816706</v>
      </c>
      <c r="Z96" s="1" t="n">
        <f aca="false">IF(U96="","",U96/$G$7)</f>
        <v>0.158752127049141</v>
      </c>
      <c r="AA96" s="1" t="n">
        <f aca="false">IF(V96="","",V96/$H$7)</f>
        <v>0.0675121234751297</v>
      </c>
      <c r="AB96" s="1" t="n">
        <f aca="false">IF(W96="","",W96/$I$7)</f>
        <v>0.0636646099816718</v>
      </c>
      <c r="AC96" s="1" t="str">
        <f aca="false">IF(COUNTIF(X96:AB96,"&gt;="&amp;$C$6)&gt;0,"PROMOTE","")</f>
        <v>PROMOTE</v>
      </c>
      <c r="AD96" s="1" t="str">
        <f aca="false">IF(COUNTIF(Sources_06!$B$33:$B$73,A96)&gt;0,"Y","")</f>
        <v>Y</v>
      </c>
      <c r="AE96" s="1" t="n">
        <f aca="false">IF(AD96="Y",MIN(0.5,Sources_06!$D$11/$C$4),"")</f>
        <v>0.093167701863354</v>
      </c>
      <c r="AF96" s="1" t="n">
        <v>669</v>
      </c>
      <c r="AG96" s="1" t="n">
        <v>4230</v>
      </c>
      <c r="AH96" s="1" t="s">
        <v>1170</v>
      </c>
      <c r="AJ96" s="1" t="s">
        <v>1171</v>
      </c>
      <c r="AT96" s="1" t="n">
        <v>0.093167701863354</v>
      </c>
    </row>
    <row r="97" customFormat="false" ht="15" hidden="false" customHeight="true" outlineLevel="0" collapsed="false">
      <c r="A97" s="1" t="n">
        <v>93</v>
      </c>
      <c r="B97" s="1" t="str">
        <f aca="false">Wording_Ranks!B94</f>
        <v>Carcinoma in Situ – Gallbladder</v>
      </c>
      <c r="C97" s="1" t="str">
        <f aca="false">Wording_Ranks!C94</f>
        <v>Oncology / Cancer</v>
      </c>
      <c r="D97" s="1" t="str">
        <f aca="false">Wording_Ranks!D94</f>
        <v>Low</v>
      </c>
      <c r="E97" s="1" t="str">
        <f aca="false">Wording_Ranks!F94</f>
        <v>Partial</v>
      </c>
      <c r="F97" s="1" t="str">
        <f aca="false">Wording_Ranks!H94</f>
        <v>Not covered</v>
      </c>
      <c r="G97" s="1" t="str">
        <f aca="false">Wording_Ranks!J94</f>
        <v>Not covered</v>
      </c>
      <c r="H97" s="1" t="str">
        <f aca="false">Wording_Ranks!M94</f>
        <v>Partial</v>
      </c>
      <c r="I97" s="1" t="str">
        <f aca="false">Wording_Ranks!O94</f>
        <v>Not covered</v>
      </c>
      <c r="J97" s="98" t="n">
        <f aca="false">IF(OR($E97="Not covered",$E97="Child-only"),0,IF($E97="Full",1,IF($E97="Ancillary",MAX(0.1,MIN(0.5,IF($AN$7="",0.5*$C$4,$AN$7)/$C$4)),MIN(0.5,IF($AN$7="",0.5*$C$4,$AN$7)/$C$4))))</f>
        <v>0.124223602484472</v>
      </c>
      <c r="K97" s="98" t="n">
        <f aca="false">IF(OR($F97="Not covered",$F97="Child-only"),0,IF($F97="Full",1,IF($AD97="Y",$AE97,IF($F97="Ancillary",MAX(0.1,MIN(0.5,IF($AO$7="",0.5*$C$4,$AO$7)/$C$4)),MIN(0.5,IF($AO$7="",0.5*$C$4,$AO$7)/$C$4)))))</f>
        <v>0</v>
      </c>
      <c r="L97" s="98" t="n">
        <f aca="false">IF(OR($G97="Not covered",$G97="Child-only"),0,IF($G97="Full",1,IF($G97="Ancillary",MAX(0.1,MIN(0.5,IF($AS97&lt;&gt;"",$AS97,IF($AP$7="",0.5*$C$4,$AP$7))/$C$4)),MIN(0.5,IF($AS97&lt;&gt;"",$AS97,IF($AP$7="",0.5*$C$4,$AP$7))/$C$4))))</f>
        <v>0</v>
      </c>
      <c r="M97" s="98" t="n">
        <f aca="false">IF(OR($H97="Not covered",$H97="Child-only"),0,IF($H97="Full",1,IF($H97="Ancillary",MAX(0.1,MIN(0.5,IF($AM97&lt;&gt;"",$AM97,IF($AQ$7="",0.5*$C$4,$AQ$7))/$C$4)),MIN(0.5,IF($AM97&lt;&gt;"",$AM97,IF($AQ$7="",0.5*$C$4,$AQ$7))/$C$4))))</f>
        <v>0.093167701863354</v>
      </c>
      <c r="N97" s="98" t="n">
        <f aca="false">IF($AT97&lt;&gt;"",$AT97,IF(OR($I97="Not covered",$I97="Child-only"),0,IF($I97="Full",1,MIN(0.5,IF($AR$7="",0.5*$C$4,$AR$7)/$C$4))))</f>
        <v>0.093167701863354</v>
      </c>
      <c r="O97" s="1" t="n">
        <f aca="false">IF(OR($AF$7="",$AG$7=""),"",MAX(AF97/$AF$7,AG97/$AG$7)*100000*IF(AI97="",1,AI97))</f>
        <v>327.059664033179</v>
      </c>
      <c r="P97" s="1" t="n">
        <f aca="false">IF(O97="","",1-EXP(-O97/100000))</f>
        <v>0.00326525406519651</v>
      </c>
      <c r="Q97" s="1" t="s">
        <v>965</v>
      </c>
      <c r="R97" s="1" t="s">
        <v>1137</v>
      </c>
      <c r="S97" s="1" t="n">
        <f aca="false">IF($P97="","",$P97*J97*$C$4*$C$5)</f>
        <v>1280.00841592004</v>
      </c>
      <c r="T97" s="1" t="n">
        <f aca="false">IF($P97="","",$P97*K97*$C$4*$C$5)</f>
        <v>0</v>
      </c>
      <c r="U97" s="1" t="n">
        <f aca="false">IF($P97="","",$P97*L97*$C$4*$C$5)</f>
        <v>0</v>
      </c>
      <c r="V97" s="1" t="n">
        <f aca="false">IF($P97="","",$P97*M97*$C$4*$C$5)</f>
        <v>960.006311940029</v>
      </c>
      <c r="W97" s="1" t="n">
        <f aca="false">IF($P97="","",$P97*N97*$C$4*$C$5)</f>
        <v>960.006311940029</v>
      </c>
      <c r="X97" s="1" t="n">
        <f aca="false">IF(S97="","",S97/$E$7)</f>
        <v>0.0797441726790602</v>
      </c>
      <c r="Y97" s="1" t="n">
        <f aca="false">IF(T97="","",T97/$F$7)</f>
        <v>0</v>
      </c>
      <c r="Z97" s="1" t="n">
        <f aca="false">IF(U97="","",U97/$G$7)</f>
        <v>0</v>
      </c>
      <c r="AA97" s="1" t="n">
        <f aca="false">IF(V97="","",V97/$H$7)</f>
        <v>0.0675121234751297</v>
      </c>
      <c r="AB97" s="1" t="n">
        <f aca="false">IF(W97="","",W97/$I$7)</f>
        <v>0.0636646099816718</v>
      </c>
      <c r="AC97" s="1" t="str">
        <f aca="false">IF(COUNTIF(X97:AB97,"&gt;="&amp;$C$6)&gt;0,"PROMOTE","")</f>
        <v>PROMOTE</v>
      </c>
      <c r="AD97" s="1" t="str">
        <f aca="false">IF(COUNTIF(Sources_06!$B$33:$B$73,A97)&gt;0,"Y","")</f>
        <v/>
      </c>
      <c r="AE97" s="1" t="str">
        <f aca="false">IF(AD97="Y",MIN(0.5,Sources_06!$D$11/$C$4),"")</f>
        <v/>
      </c>
      <c r="AF97" s="1" t="n">
        <v>669</v>
      </c>
      <c r="AG97" s="1" t="n">
        <v>4230</v>
      </c>
      <c r="AH97" s="1" t="s">
        <v>1170</v>
      </c>
      <c r="AJ97" s="1" t="s">
        <v>1171</v>
      </c>
      <c r="AT97" s="1" t="n">
        <v>0.093167701863354</v>
      </c>
    </row>
    <row r="98" customFormat="false" ht="15" hidden="false" customHeight="true" outlineLevel="0" collapsed="false">
      <c r="A98" s="1" t="n">
        <v>94</v>
      </c>
      <c r="B98" s="1" t="str">
        <f aca="false">Wording_Ranks!B95</f>
        <v>Carcinoma in Situ – Larynx</v>
      </c>
      <c r="C98" s="1" t="str">
        <f aca="false">Wording_Ranks!C95</f>
        <v>Oncology / Cancer</v>
      </c>
      <c r="D98" s="1" t="str">
        <f aca="false">Wording_Ranks!D95</f>
        <v>Low</v>
      </c>
      <c r="E98" s="1" t="str">
        <f aca="false">Wording_Ranks!F95</f>
        <v>Partial</v>
      </c>
      <c r="F98" s="1" t="str">
        <f aca="false">Wording_Ranks!H95</f>
        <v>Partial</v>
      </c>
      <c r="G98" s="1" t="str">
        <f aca="false">Wording_Ranks!J95</f>
        <v>Not covered</v>
      </c>
      <c r="H98" s="1" t="str">
        <f aca="false">Wording_Ranks!M95</f>
        <v>Partial</v>
      </c>
      <c r="I98" s="1" t="str">
        <f aca="false">Wording_Ranks!O95</f>
        <v>Not covered</v>
      </c>
      <c r="J98" s="98" t="n">
        <f aca="false">IF(OR($E98="Not covered",$E98="Child-only"),0,IF($E98="Full",1,IF($E98="Ancillary",MAX(0.1,MIN(0.5,IF($AN$7="",0.5*$C$4,$AN$7)/$C$4)),MIN(0.5,IF($AN$7="",0.5*$C$4,$AN$7)/$C$4))))</f>
        <v>0.124223602484472</v>
      </c>
      <c r="K98" s="98" t="n">
        <f aca="false">IF(OR($F98="Not covered",$F98="Child-only"),0,IF($F98="Full",1,IF($AD98="Y",$AE98,IF($F98="Ancillary",MAX(0.1,MIN(0.5,IF($AO$7="",0.5*$C$4,$AO$7)/$C$4)),MIN(0.5,IF($AO$7="",0.5*$C$4,$AO$7)/$C$4)))))</f>
        <v>0.093167701863354</v>
      </c>
      <c r="L98" s="98" t="n">
        <f aca="false">IF(OR($G98="Not covered",$G98="Child-only"),0,IF($G98="Full",1,IF($G98="Ancillary",MAX(0.1,MIN(0.5,IF($AS98&lt;&gt;"",$AS98,IF($AP$7="",0.5*$C$4,$AP$7))/$C$4)),MIN(0.5,IF($AS98&lt;&gt;"",$AS98,IF($AP$7="",0.5*$C$4,$AP$7))/$C$4))))</f>
        <v>0</v>
      </c>
      <c r="M98" s="98" t="n">
        <f aca="false">IF(OR($H98="Not covered",$H98="Child-only"),0,IF($H98="Full",1,IF($H98="Ancillary",MAX(0.1,MIN(0.5,IF($AM98&lt;&gt;"",$AM98,IF($AQ$7="",0.5*$C$4,$AQ$7))/$C$4)),MIN(0.5,IF($AM98&lt;&gt;"",$AM98,IF($AQ$7="",0.5*$C$4,$AQ$7))/$C$4))))</f>
        <v>0.093167701863354</v>
      </c>
      <c r="N98" s="98" t="n">
        <f aca="false">IF($AT98&lt;&gt;"",$AT98,IF(OR($I98="Not covered",$I98="Child-only"),0,IF($I98="Full",1,MIN(0.5,IF($AR$7="",0.5*$C$4,$AR$7)/$C$4))))</f>
        <v>0.093167701863354</v>
      </c>
      <c r="O98" s="1" t="n">
        <f aca="false">IF(OR($AF$7="",$AG$7=""),"",MAX(AF98/$AF$7,AG98/$AG$7)*100000*IF(AI98="",1,AI98))</f>
        <v>327.059664033179</v>
      </c>
      <c r="P98" s="1" t="n">
        <f aca="false">IF(O98="","",1-EXP(-O98/100000))</f>
        <v>0.00326525406519651</v>
      </c>
      <c r="Q98" s="1" t="s">
        <v>965</v>
      </c>
      <c r="R98" s="1" t="s">
        <v>1137</v>
      </c>
      <c r="S98" s="1" t="n">
        <f aca="false">IF($P98="","",$P98*J98*$C$4*$C$5)</f>
        <v>1280.00841592004</v>
      </c>
      <c r="T98" s="1" t="n">
        <f aca="false">IF($P98="","",$P98*K98*$C$4*$C$5)</f>
        <v>960.006311940029</v>
      </c>
      <c r="U98" s="1" t="n">
        <f aca="false">IF($P98="","",$P98*L98*$C$4*$C$5)</f>
        <v>0</v>
      </c>
      <c r="V98" s="1" t="n">
        <f aca="false">IF($P98="","",$P98*M98*$C$4*$C$5)</f>
        <v>960.006311940029</v>
      </c>
      <c r="W98" s="1" t="n">
        <f aca="false">IF($P98="","",$P98*N98*$C$4*$C$5)</f>
        <v>960.006311940029</v>
      </c>
      <c r="X98" s="1" t="n">
        <f aca="false">IF(S98="","",S98/$E$7)</f>
        <v>0.0797441726790602</v>
      </c>
      <c r="Y98" s="1" t="n">
        <f aca="false">IF(T98="","",T98/$F$7)</f>
        <v>0.0876240296816706</v>
      </c>
      <c r="Z98" s="1" t="n">
        <f aca="false">IF(U98="","",U98/$G$7)</f>
        <v>0</v>
      </c>
      <c r="AA98" s="1" t="n">
        <f aca="false">IF(V98="","",V98/$H$7)</f>
        <v>0.0675121234751297</v>
      </c>
      <c r="AB98" s="1" t="n">
        <f aca="false">IF(W98="","",W98/$I$7)</f>
        <v>0.0636646099816718</v>
      </c>
      <c r="AC98" s="1" t="str">
        <f aca="false">IF(COUNTIF(X98:AB98,"&gt;="&amp;$C$6)&gt;0,"PROMOTE","")</f>
        <v>PROMOTE</v>
      </c>
      <c r="AD98" s="1" t="str">
        <f aca="false">IF(COUNTIF(Sources_06!$B$33:$B$73,A98)&gt;0,"Y","")</f>
        <v>Y</v>
      </c>
      <c r="AE98" s="1" t="n">
        <f aca="false">IF(AD98="Y",MIN(0.5,Sources_06!$D$11/$C$4),"")</f>
        <v>0.093167701863354</v>
      </c>
      <c r="AF98" s="1" t="n">
        <v>669</v>
      </c>
      <c r="AG98" s="1" t="n">
        <v>4230</v>
      </c>
      <c r="AH98" s="1" t="s">
        <v>1170</v>
      </c>
      <c r="AJ98" s="1" t="s">
        <v>1171</v>
      </c>
      <c r="AT98" s="1" t="n">
        <v>0.093167701863354</v>
      </c>
    </row>
    <row r="99" customFormat="false" ht="15" hidden="false" customHeight="true" outlineLevel="0" collapsed="false">
      <c r="A99" s="1" t="n">
        <v>95</v>
      </c>
      <c r="B99" s="1" t="str">
        <f aca="false">Wording_Ranks!B96</f>
        <v>Carcinoma in Situ – Lung/Bronchus</v>
      </c>
      <c r="C99" s="1" t="str">
        <f aca="false">Wording_Ranks!C96</f>
        <v>Oncology / Cancer</v>
      </c>
      <c r="D99" s="1" t="str">
        <f aca="false">Wording_Ranks!D96</f>
        <v>Medium</v>
      </c>
      <c r="E99" s="1" t="str">
        <f aca="false">Wording_Ranks!F96</f>
        <v>Partial</v>
      </c>
      <c r="F99" s="1" t="str">
        <f aca="false">Wording_Ranks!H96</f>
        <v>Partial</v>
      </c>
      <c r="G99" s="1" t="str">
        <f aca="false">Wording_Ranks!J96</f>
        <v>Not covered</v>
      </c>
      <c r="H99" s="1" t="str">
        <f aca="false">Wording_Ranks!M96</f>
        <v>Partial</v>
      </c>
      <c r="I99" s="1" t="str">
        <f aca="false">Wording_Ranks!O96</f>
        <v>Not covered</v>
      </c>
      <c r="J99" s="98" t="n">
        <f aca="false">IF(OR($E99="Not covered",$E99="Child-only"),0,IF($E99="Full",1,IF($E99="Ancillary",MAX(0.1,MIN(0.5,IF($AN$7="",0.5*$C$4,$AN$7)/$C$4)),MIN(0.5,IF($AN$7="",0.5*$C$4,$AN$7)/$C$4))))</f>
        <v>0.124223602484472</v>
      </c>
      <c r="K99" s="98" t="n">
        <f aca="false">IF(OR($F99="Not covered",$F99="Child-only"),0,IF($F99="Full",1,IF($AD99="Y",$AE99,IF($F99="Ancillary",MAX(0.1,MIN(0.5,IF($AO$7="",0.5*$C$4,$AO$7)/$C$4)),MIN(0.5,IF($AO$7="",0.5*$C$4,$AO$7)/$C$4)))))</f>
        <v>0.093167701863354</v>
      </c>
      <c r="L99" s="98" t="n">
        <f aca="false">IF(OR($G99="Not covered",$G99="Child-only"),0,IF($G99="Full",1,IF($G99="Ancillary",MAX(0.1,MIN(0.5,IF($AS99&lt;&gt;"",$AS99,IF($AP$7="",0.5*$C$4,$AP$7))/$C$4)),MIN(0.5,IF($AS99&lt;&gt;"",$AS99,IF($AP$7="",0.5*$C$4,$AP$7))/$C$4))))</f>
        <v>0</v>
      </c>
      <c r="M99" s="98" t="n">
        <f aca="false">IF(OR($H99="Not covered",$H99="Child-only"),0,IF($H99="Full",1,IF($H99="Ancillary",MAX(0.1,MIN(0.5,IF($AM99&lt;&gt;"",$AM99,IF($AQ$7="",0.5*$C$4,$AQ$7))/$C$4)),MIN(0.5,IF($AM99&lt;&gt;"",$AM99,IF($AQ$7="",0.5*$C$4,$AQ$7))/$C$4))))</f>
        <v>0.093167701863354</v>
      </c>
      <c r="N99" s="98" t="n">
        <f aca="false">IF($AT99&lt;&gt;"",$AT99,IF(OR($I99="Not covered",$I99="Child-only"),0,IF($I99="Full",1,MIN(0.5,IF($AR$7="",0.5*$C$4,$AR$7)/$C$4))))</f>
        <v>0.093167701863354</v>
      </c>
      <c r="O99" s="1" t="n">
        <f aca="false">IF(OR($AF$7="",$AG$7=""),"",MAX(AF99/$AF$7,AG99/$AG$7)*100000*IF(AI99="",1,AI99))</f>
        <v>327.059664033179</v>
      </c>
      <c r="P99" s="1" t="n">
        <f aca="false">IF(O99="","",1-EXP(-O99/100000))</f>
        <v>0.00326525406519651</v>
      </c>
      <c r="Q99" s="1" t="s">
        <v>965</v>
      </c>
      <c r="R99" s="1" t="s">
        <v>1137</v>
      </c>
      <c r="S99" s="1" t="n">
        <f aca="false">IF($P99="","",$P99*J99*$C$4*$C$5)</f>
        <v>1280.00841592004</v>
      </c>
      <c r="T99" s="1" t="n">
        <f aca="false">IF($P99="","",$P99*K99*$C$4*$C$5)</f>
        <v>960.006311940029</v>
      </c>
      <c r="U99" s="1" t="n">
        <f aca="false">IF($P99="","",$P99*L99*$C$4*$C$5)</f>
        <v>0</v>
      </c>
      <c r="V99" s="1" t="n">
        <f aca="false">IF($P99="","",$P99*M99*$C$4*$C$5)</f>
        <v>960.006311940029</v>
      </c>
      <c r="W99" s="1" t="n">
        <f aca="false">IF($P99="","",$P99*N99*$C$4*$C$5)</f>
        <v>960.006311940029</v>
      </c>
      <c r="X99" s="1" t="n">
        <f aca="false">IF(S99="","",S99/$E$7)</f>
        <v>0.0797441726790602</v>
      </c>
      <c r="Y99" s="1" t="n">
        <f aca="false">IF(T99="","",T99/$F$7)</f>
        <v>0.0876240296816706</v>
      </c>
      <c r="Z99" s="1" t="n">
        <f aca="false">IF(U99="","",U99/$G$7)</f>
        <v>0</v>
      </c>
      <c r="AA99" s="1" t="n">
        <f aca="false">IF(V99="","",V99/$H$7)</f>
        <v>0.0675121234751297</v>
      </c>
      <c r="AB99" s="1" t="n">
        <f aca="false">IF(W99="","",W99/$I$7)</f>
        <v>0.0636646099816718</v>
      </c>
      <c r="AC99" s="1" t="str">
        <f aca="false">IF(COUNTIF(X99:AB99,"&gt;="&amp;$C$6)&gt;0,"PROMOTE","")</f>
        <v>PROMOTE</v>
      </c>
      <c r="AD99" s="1" t="str">
        <f aca="false">IF(COUNTIF(Sources_06!$B$33:$B$73,A99)&gt;0,"Y","")</f>
        <v>Y</v>
      </c>
      <c r="AE99" s="1" t="n">
        <f aca="false">IF(AD99="Y",MIN(0.5,Sources_06!$D$11/$C$4),"")</f>
        <v>0.093167701863354</v>
      </c>
      <c r="AF99" s="1" t="n">
        <v>669</v>
      </c>
      <c r="AG99" s="1" t="n">
        <v>4230</v>
      </c>
      <c r="AH99" s="1" t="s">
        <v>1170</v>
      </c>
      <c r="AJ99" s="1" t="s">
        <v>1171</v>
      </c>
      <c r="AT99" s="1" t="n">
        <v>0.093167701863354</v>
      </c>
    </row>
    <row r="100" customFormat="false" ht="15" hidden="false" customHeight="true" outlineLevel="0" collapsed="false">
      <c r="A100" s="1" t="n">
        <v>96</v>
      </c>
      <c r="B100" s="1" t="str">
        <f aca="false">Wording_Ranks!B97</f>
        <v>Carcinoma in Situ – Oesophagus</v>
      </c>
      <c r="C100" s="1" t="str">
        <f aca="false">Wording_Ranks!C97</f>
        <v>Oncology / Cancer</v>
      </c>
      <c r="D100" s="1" t="str">
        <f aca="false">Wording_Ranks!D97</f>
        <v>Low</v>
      </c>
      <c r="E100" s="1" t="str">
        <f aca="false">Wording_Ranks!F97</f>
        <v>Partial</v>
      </c>
      <c r="F100" s="1" t="str">
        <f aca="false">Wording_Ranks!H97</f>
        <v>Partial</v>
      </c>
      <c r="G100" s="1" t="str">
        <f aca="false">Wording_Ranks!J97</f>
        <v>Partial</v>
      </c>
      <c r="H100" s="1" t="str">
        <f aca="false">Wording_Ranks!M97</f>
        <v>Partial</v>
      </c>
      <c r="I100" s="1" t="str">
        <f aca="false">Wording_Ranks!O97</f>
        <v>Not covered</v>
      </c>
      <c r="J100" s="98" t="n">
        <f aca="false">IF(OR($E100="Not covered",$E100="Child-only"),0,IF($E100="Full",1,IF($E100="Ancillary",MAX(0.1,MIN(0.5,IF($AN$7="",0.5*$C$4,$AN$7)/$C$4)),MIN(0.5,IF($AN$7="",0.5*$C$4,$AN$7)/$C$4))))</f>
        <v>0.124223602484472</v>
      </c>
      <c r="K100" s="98" t="n">
        <f aca="false">IF(OR($F100="Not covered",$F100="Child-only"),0,IF($F100="Full",1,IF($AD100="Y",$AE100,IF($F100="Ancillary",MAX(0.1,MIN(0.5,IF($AO$7="",0.5*$C$4,$AO$7)/$C$4)),MIN(0.5,IF($AO$7="",0.5*$C$4,$AO$7)/$C$4)))))</f>
        <v>0.093167701863354</v>
      </c>
      <c r="L100" s="98" t="n">
        <f aca="false">IF(OR($G100="Not covered",$G100="Child-only"),0,IF($G100="Full",1,IF($G100="Ancillary",MAX(0.1,MIN(0.5,IF($AS100&lt;&gt;"",$AS100,IF($AP$7="",0.5*$C$4,$AP$7))/$C$4)),MIN(0.5,IF($AS100&lt;&gt;"",$AS100,IF($AP$7="",0.5*$C$4,$AP$7))/$C$4))))</f>
        <v>0.093167701863354</v>
      </c>
      <c r="M100" s="98" t="n">
        <f aca="false">IF(OR($H100="Not covered",$H100="Child-only"),0,IF($H100="Full",1,IF($H100="Ancillary",MAX(0.1,MIN(0.5,IF($AM100&lt;&gt;"",$AM100,IF($AQ$7="",0.5*$C$4,$AQ$7))/$C$4)),MIN(0.5,IF($AM100&lt;&gt;"",$AM100,IF($AQ$7="",0.5*$C$4,$AQ$7))/$C$4))))</f>
        <v>0.093167701863354</v>
      </c>
      <c r="N100" s="98" t="n">
        <f aca="false">IF($AT100&lt;&gt;"",$AT100,IF(OR($I100="Not covered",$I100="Child-only"),0,IF($I100="Full",1,MIN(0.5,IF($AR$7="",0.5*$C$4,$AR$7)/$C$4))))</f>
        <v>0.093167701863354</v>
      </c>
      <c r="O100" s="1" t="n">
        <f aca="false">IF(OR($AF$7="",$AG$7=""),"",MAX(AF100/$AF$7,AG100/$AG$7)*100000*IF(AI100="",1,AI100))</f>
        <v>327.059664033179</v>
      </c>
      <c r="P100" s="1" t="n">
        <f aca="false">IF(O100="","",1-EXP(-O100/100000))</f>
        <v>0.00326525406519651</v>
      </c>
      <c r="Q100" s="1" t="s">
        <v>965</v>
      </c>
      <c r="R100" s="1" t="s">
        <v>1137</v>
      </c>
      <c r="S100" s="1" t="n">
        <f aca="false">IF($P100="","",$P100*J100*$C$4*$C$5)</f>
        <v>1280.00841592004</v>
      </c>
      <c r="T100" s="1" t="n">
        <f aca="false">IF($P100="","",$P100*K100*$C$4*$C$5)</f>
        <v>960.006311940029</v>
      </c>
      <c r="U100" s="1" t="n">
        <f aca="false">IF($P100="","",$P100*L100*$C$4*$C$5)</f>
        <v>960.006311940029</v>
      </c>
      <c r="V100" s="1" t="n">
        <f aca="false">IF($P100="","",$P100*M100*$C$4*$C$5)</f>
        <v>960.006311940029</v>
      </c>
      <c r="W100" s="1" t="n">
        <f aca="false">IF($P100="","",$P100*N100*$C$4*$C$5)</f>
        <v>960.006311940029</v>
      </c>
      <c r="X100" s="1" t="n">
        <f aca="false">IF(S100="","",S100/$E$7)</f>
        <v>0.0797441726790602</v>
      </c>
      <c r="Y100" s="1" t="n">
        <f aca="false">IF(T100="","",T100/$F$7)</f>
        <v>0.0876240296816706</v>
      </c>
      <c r="Z100" s="1" t="n">
        <f aca="false">IF(U100="","",U100/$G$7)</f>
        <v>0.158752127049141</v>
      </c>
      <c r="AA100" s="1" t="n">
        <f aca="false">IF(V100="","",V100/$H$7)</f>
        <v>0.0675121234751297</v>
      </c>
      <c r="AB100" s="1" t="n">
        <f aca="false">IF(W100="","",W100/$I$7)</f>
        <v>0.0636646099816718</v>
      </c>
      <c r="AC100" s="1" t="str">
        <f aca="false">IF(COUNTIF(X100:AB100,"&gt;="&amp;$C$6)&gt;0,"PROMOTE","")</f>
        <v>PROMOTE</v>
      </c>
      <c r="AD100" s="1" t="str">
        <f aca="false">IF(COUNTIF(Sources_06!$B$33:$B$73,A100)&gt;0,"Y","")</f>
        <v>Y</v>
      </c>
      <c r="AE100" s="1" t="n">
        <f aca="false">IF(AD100="Y",MIN(0.5,Sources_06!$D$11/$C$4),"")</f>
        <v>0.093167701863354</v>
      </c>
      <c r="AF100" s="1" t="n">
        <v>669</v>
      </c>
      <c r="AG100" s="1" t="n">
        <v>4230</v>
      </c>
      <c r="AH100" s="1" t="s">
        <v>1170</v>
      </c>
      <c r="AJ100" s="1" t="s">
        <v>1171</v>
      </c>
      <c r="AT100" s="1" t="n">
        <v>0.093167701863354</v>
      </c>
    </row>
    <row r="101" customFormat="false" ht="15" hidden="false" customHeight="true" outlineLevel="0" collapsed="false">
      <c r="A101" s="1" t="n">
        <v>97</v>
      </c>
      <c r="B101" s="1" t="str">
        <f aca="false">Wording_Ranks!B98</f>
        <v>Carcinoma in Situ – Oral Cavity/Oropharynx</v>
      </c>
      <c r="C101" s="1" t="str">
        <f aca="false">Wording_Ranks!C98</f>
        <v>Oncology / Cancer</v>
      </c>
      <c r="D101" s="1" t="str">
        <f aca="false">Wording_Ranks!D98</f>
        <v>Low</v>
      </c>
      <c r="E101" s="1" t="str">
        <f aca="false">Wording_Ranks!F98</f>
        <v>Partial</v>
      </c>
      <c r="F101" s="1" t="str">
        <f aca="false">Wording_Ranks!H98</f>
        <v>Partial</v>
      </c>
      <c r="G101" s="1" t="str">
        <f aca="false">Wording_Ranks!J98</f>
        <v>Partial</v>
      </c>
      <c r="H101" s="1" t="str">
        <f aca="false">Wording_Ranks!M98</f>
        <v>Partial</v>
      </c>
      <c r="I101" s="1" t="str">
        <f aca="false">Wording_Ranks!O98</f>
        <v>Not covered</v>
      </c>
      <c r="J101" s="98" t="n">
        <f aca="false">IF(OR($E101="Not covered",$E101="Child-only"),0,IF($E101="Full",1,IF($E101="Ancillary",MAX(0.1,MIN(0.5,IF($AN$7="",0.5*$C$4,$AN$7)/$C$4)),MIN(0.5,IF($AN$7="",0.5*$C$4,$AN$7)/$C$4))))</f>
        <v>0.124223602484472</v>
      </c>
      <c r="K101" s="98" t="n">
        <f aca="false">IF(OR($F101="Not covered",$F101="Child-only"),0,IF($F101="Full",1,IF($AD101="Y",$AE101,IF($F101="Ancillary",MAX(0.1,MIN(0.5,IF($AO$7="",0.5*$C$4,$AO$7)/$C$4)),MIN(0.5,IF($AO$7="",0.5*$C$4,$AO$7)/$C$4)))))</f>
        <v>0.093167701863354</v>
      </c>
      <c r="L101" s="98" t="n">
        <f aca="false">IF(OR($G101="Not covered",$G101="Child-only"),0,IF($G101="Full",1,IF($G101="Ancillary",MAX(0.1,MIN(0.5,IF($AS101&lt;&gt;"",$AS101,IF($AP$7="",0.5*$C$4,$AP$7))/$C$4)),MIN(0.5,IF($AS101&lt;&gt;"",$AS101,IF($AP$7="",0.5*$C$4,$AP$7))/$C$4))))</f>
        <v>0.093167701863354</v>
      </c>
      <c r="M101" s="98" t="n">
        <f aca="false">IF(OR($H101="Not covered",$H101="Child-only"),0,IF($H101="Full",1,IF($H101="Ancillary",MAX(0.1,MIN(0.5,IF($AM101&lt;&gt;"",$AM101,IF($AQ$7="",0.5*$C$4,$AQ$7))/$C$4)),MIN(0.5,IF($AM101&lt;&gt;"",$AM101,IF($AQ$7="",0.5*$C$4,$AQ$7))/$C$4))))</f>
        <v>0.093167701863354</v>
      </c>
      <c r="N101" s="98" t="n">
        <f aca="false">IF($AT101&lt;&gt;"",$AT101,IF(OR($I101="Not covered",$I101="Child-only"),0,IF($I101="Full",1,MIN(0.5,IF($AR$7="",0.5*$C$4,$AR$7)/$C$4))))</f>
        <v>0.093167701863354</v>
      </c>
      <c r="O101" s="1" t="n">
        <f aca="false">IF(OR($AF$7="",$AG$7=""),"",MAX(AF101/$AF$7,AG101/$AG$7)*100000*IF(AI101="",1,AI101))</f>
        <v>327.059664033179</v>
      </c>
      <c r="P101" s="1" t="n">
        <f aca="false">IF(O101="","",1-EXP(-O101/100000))</f>
        <v>0.00326525406519651</v>
      </c>
      <c r="Q101" s="1" t="s">
        <v>965</v>
      </c>
      <c r="R101" s="1" t="s">
        <v>1137</v>
      </c>
      <c r="S101" s="1" t="n">
        <f aca="false">IF($P101="","",$P101*J101*$C$4*$C$5)</f>
        <v>1280.00841592004</v>
      </c>
      <c r="T101" s="1" t="n">
        <f aca="false">IF($P101="","",$P101*K101*$C$4*$C$5)</f>
        <v>960.006311940029</v>
      </c>
      <c r="U101" s="1" t="n">
        <f aca="false">IF($P101="","",$P101*L101*$C$4*$C$5)</f>
        <v>960.006311940029</v>
      </c>
      <c r="V101" s="1" t="n">
        <f aca="false">IF($P101="","",$P101*M101*$C$4*$C$5)</f>
        <v>960.006311940029</v>
      </c>
      <c r="W101" s="1" t="n">
        <f aca="false">IF($P101="","",$P101*N101*$C$4*$C$5)</f>
        <v>960.006311940029</v>
      </c>
      <c r="X101" s="1" t="n">
        <f aca="false">IF(S101="","",S101/$E$7)</f>
        <v>0.0797441726790602</v>
      </c>
      <c r="Y101" s="1" t="n">
        <f aca="false">IF(T101="","",T101/$F$7)</f>
        <v>0.0876240296816706</v>
      </c>
      <c r="Z101" s="1" t="n">
        <f aca="false">IF(U101="","",U101/$G$7)</f>
        <v>0.158752127049141</v>
      </c>
      <c r="AA101" s="1" t="n">
        <f aca="false">IF(V101="","",V101/$H$7)</f>
        <v>0.0675121234751297</v>
      </c>
      <c r="AB101" s="1" t="n">
        <f aca="false">IF(W101="","",W101/$I$7)</f>
        <v>0.0636646099816718</v>
      </c>
      <c r="AC101" s="1" t="str">
        <f aca="false">IF(COUNTIF(X101:AB101,"&gt;="&amp;$C$6)&gt;0,"PROMOTE","")</f>
        <v>PROMOTE</v>
      </c>
      <c r="AD101" s="1" t="str">
        <f aca="false">IF(COUNTIF(Sources_06!$B$33:$B$73,A101)&gt;0,"Y","")</f>
        <v>Y</v>
      </c>
      <c r="AE101" s="1" t="n">
        <f aca="false">IF(AD101="Y",MIN(0.5,Sources_06!$D$11/$C$4),"")</f>
        <v>0.093167701863354</v>
      </c>
      <c r="AF101" s="1" t="n">
        <v>669</v>
      </c>
      <c r="AG101" s="1" t="n">
        <v>4230</v>
      </c>
      <c r="AH101" s="1" t="s">
        <v>1170</v>
      </c>
      <c r="AJ101" s="1" t="s">
        <v>1171</v>
      </c>
      <c r="AT101" s="1" t="n">
        <v>0.093167701863354</v>
      </c>
    </row>
    <row r="102" customFormat="false" ht="15" hidden="false" customHeight="true" outlineLevel="0" collapsed="false">
      <c r="A102" s="1" t="n">
        <v>98</v>
      </c>
      <c r="B102" s="1" t="str">
        <f aca="false">Wording_Ranks!B99</f>
        <v>Carcinoma in Situ – Other Sites</v>
      </c>
      <c r="C102" s="1" t="str">
        <f aca="false">Wording_Ranks!C99</f>
        <v>Oncology / Cancer</v>
      </c>
      <c r="D102" s="1" t="str">
        <f aca="false">Wording_Ranks!D99</f>
        <v>Low</v>
      </c>
      <c r="E102" s="1" t="str">
        <f aca="false">Wording_Ranks!F99</f>
        <v>Not covered</v>
      </c>
      <c r="F102" s="1" t="str">
        <f aca="false">Wording_Ranks!H99</f>
        <v>Partial</v>
      </c>
      <c r="G102" s="1" t="str">
        <f aca="false">Wording_Ranks!J99</f>
        <v>Partial</v>
      </c>
      <c r="H102" s="1" t="str">
        <f aca="false">Wording_Ranks!M99</f>
        <v>Partial</v>
      </c>
      <c r="I102" s="1" t="str">
        <f aca="false">Wording_Ranks!O99</f>
        <v>Not covered</v>
      </c>
      <c r="J102" s="98" t="n">
        <f aca="false">IF(OR($E102="Not covered",$E102="Child-only"),0,IF($E102="Full",1,IF($E102="Ancillary",MAX(0.1,MIN(0.5,IF($AN$7="",0.5*$C$4,$AN$7)/$C$4)),MIN(0.5,IF($AN$7="",0.5*$C$4,$AN$7)/$C$4))))</f>
        <v>0</v>
      </c>
      <c r="K102" s="98" t="n">
        <f aca="false">IF(OR($F102="Not covered",$F102="Child-only"),0,IF($F102="Full",1,IF($AD102="Y",$AE102,IF($F102="Ancillary",MAX(0.1,MIN(0.5,IF($AO$7="",0.5*$C$4,$AO$7)/$C$4)),MIN(0.5,IF($AO$7="",0.5*$C$4,$AO$7)/$C$4)))))</f>
        <v>0.093167701863354</v>
      </c>
      <c r="L102" s="98" t="n">
        <f aca="false">IF(OR($G102="Not covered",$G102="Child-only"),0,IF($G102="Full",1,IF($G102="Ancillary",MAX(0.1,MIN(0.5,IF($AS102&lt;&gt;"",$AS102,IF($AP$7="",0.5*$C$4,$AP$7))/$C$4)),MIN(0.5,IF($AS102&lt;&gt;"",$AS102,IF($AP$7="",0.5*$C$4,$AP$7))/$C$4))))</f>
        <v>0.093167701863354</v>
      </c>
      <c r="M102" s="98" t="n">
        <f aca="false">IF(OR($H102="Not covered",$H102="Child-only"),0,IF($H102="Full",1,IF($H102="Ancillary",MAX(0.1,MIN(0.5,IF($AM102&lt;&gt;"",$AM102,IF($AQ$7="",0.5*$C$4,$AQ$7))/$C$4)),MIN(0.5,IF($AM102&lt;&gt;"",$AM102,IF($AQ$7="",0.5*$C$4,$AQ$7))/$C$4))))</f>
        <v>0.093167701863354</v>
      </c>
      <c r="N102" s="98" t="n">
        <f aca="false">IF($AT102&lt;&gt;"",$AT102,IF(OR($I102="Not covered",$I102="Child-only"),0,IF($I102="Full",1,MIN(0.5,IF($AR$7="",0.5*$C$4,$AR$7)/$C$4))))</f>
        <v>0.093167701863354</v>
      </c>
      <c r="O102" s="1" t="n">
        <f aca="false">IF(OR($AF$7="",$AG$7=""),"",MAX(AF102/$AF$7,AG102/$AG$7)*100000*IF(AI102="",1,AI102))</f>
        <v>327.059664033179</v>
      </c>
      <c r="P102" s="1" t="n">
        <f aca="false">IF(O102="","",1-EXP(-O102/100000))</f>
        <v>0.00326525406519651</v>
      </c>
      <c r="Q102" s="1" t="s">
        <v>965</v>
      </c>
      <c r="R102" s="1" t="s">
        <v>1137</v>
      </c>
      <c r="S102" s="1" t="n">
        <f aca="false">IF($P102="","",$P102*J102*$C$4*$C$5)</f>
        <v>0</v>
      </c>
      <c r="T102" s="1" t="n">
        <f aca="false">IF($P102="","",$P102*K102*$C$4*$C$5)</f>
        <v>960.006311940029</v>
      </c>
      <c r="U102" s="1" t="n">
        <f aca="false">IF($P102="","",$P102*L102*$C$4*$C$5)</f>
        <v>960.006311940029</v>
      </c>
      <c r="V102" s="1" t="n">
        <f aca="false">IF($P102="","",$P102*M102*$C$4*$C$5)</f>
        <v>960.006311940029</v>
      </c>
      <c r="W102" s="1" t="n">
        <f aca="false">IF($P102="","",$P102*N102*$C$4*$C$5)</f>
        <v>960.006311940029</v>
      </c>
      <c r="X102" s="1" t="n">
        <f aca="false">IF(S102="","",S102/$E$7)</f>
        <v>0</v>
      </c>
      <c r="Y102" s="1" t="n">
        <f aca="false">IF(T102="","",T102/$F$7)</f>
        <v>0.0876240296816706</v>
      </c>
      <c r="Z102" s="1" t="n">
        <f aca="false">IF(U102="","",U102/$G$7)</f>
        <v>0.158752127049141</v>
      </c>
      <c r="AA102" s="1" t="n">
        <f aca="false">IF(V102="","",V102/$H$7)</f>
        <v>0.0675121234751297</v>
      </c>
      <c r="AB102" s="1" t="n">
        <f aca="false">IF(W102="","",W102/$I$7)</f>
        <v>0.0636646099816718</v>
      </c>
      <c r="AC102" s="1" t="str">
        <f aca="false">IF(COUNTIF(X102:AB102,"&gt;="&amp;$C$6)&gt;0,"PROMOTE","")</f>
        <v>PROMOTE</v>
      </c>
      <c r="AD102" s="1" t="str">
        <f aca="false">IF(COUNTIF(Sources_06!$B$33:$B$73,A102)&gt;0,"Y","")</f>
        <v>Y</v>
      </c>
      <c r="AE102" s="1" t="n">
        <f aca="false">IF(AD102="Y",MIN(0.5,Sources_06!$D$11/$C$4),"")</f>
        <v>0.093167701863354</v>
      </c>
      <c r="AF102" s="1" t="n">
        <v>669</v>
      </c>
      <c r="AG102" s="1" t="n">
        <v>4230</v>
      </c>
      <c r="AH102" s="1" t="s">
        <v>1170</v>
      </c>
      <c r="AJ102" s="1" t="s">
        <v>1171</v>
      </c>
      <c r="AT102" s="1" t="n">
        <v>0.093167701863354</v>
      </c>
    </row>
    <row r="103" customFormat="false" ht="15" hidden="false" customHeight="true" outlineLevel="0" collapsed="false">
      <c r="A103" s="1" t="n">
        <v>99</v>
      </c>
      <c r="B103" s="1" t="str">
        <f aca="false">Wording_Ranks!B100</f>
        <v>Carcinoma in Situ – Pancreas</v>
      </c>
      <c r="C103" s="1" t="str">
        <f aca="false">Wording_Ranks!C100</f>
        <v>Oncology / Cancer</v>
      </c>
      <c r="D103" s="1" t="str">
        <f aca="false">Wording_Ranks!D100</f>
        <v>Low</v>
      </c>
      <c r="E103" s="1" t="str">
        <f aca="false">Wording_Ranks!F100</f>
        <v>Partial</v>
      </c>
      <c r="F103" s="1" t="str">
        <f aca="false">Wording_Ranks!H100</f>
        <v>Not covered</v>
      </c>
      <c r="G103" s="1" t="str">
        <f aca="false">Wording_Ranks!J100</f>
        <v>Not covered</v>
      </c>
      <c r="H103" s="1" t="str">
        <f aca="false">Wording_Ranks!M100</f>
        <v>Partial</v>
      </c>
      <c r="I103" s="1" t="str">
        <f aca="false">Wording_Ranks!O100</f>
        <v>Not covered</v>
      </c>
      <c r="J103" s="98" t="n">
        <f aca="false">IF(OR($E103="Not covered",$E103="Child-only"),0,IF($E103="Full",1,IF($E103="Ancillary",MAX(0.1,MIN(0.5,IF($AN$7="",0.5*$C$4,$AN$7)/$C$4)),MIN(0.5,IF($AN$7="",0.5*$C$4,$AN$7)/$C$4))))</f>
        <v>0.124223602484472</v>
      </c>
      <c r="K103" s="98" t="n">
        <f aca="false">IF(OR($F103="Not covered",$F103="Child-only"),0,IF($F103="Full",1,IF($AD103="Y",$AE103,IF($F103="Ancillary",MAX(0.1,MIN(0.5,IF($AO$7="",0.5*$C$4,$AO$7)/$C$4)),MIN(0.5,IF($AO$7="",0.5*$C$4,$AO$7)/$C$4)))))</f>
        <v>0</v>
      </c>
      <c r="L103" s="98" t="n">
        <f aca="false">IF(OR($G103="Not covered",$G103="Child-only"),0,IF($G103="Full",1,IF($G103="Ancillary",MAX(0.1,MIN(0.5,IF($AS103&lt;&gt;"",$AS103,IF($AP$7="",0.5*$C$4,$AP$7))/$C$4)),MIN(0.5,IF($AS103&lt;&gt;"",$AS103,IF($AP$7="",0.5*$C$4,$AP$7))/$C$4))))</f>
        <v>0</v>
      </c>
      <c r="M103" s="98" t="n">
        <f aca="false">IF(OR($H103="Not covered",$H103="Child-only"),0,IF($H103="Full",1,IF($H103="Ancillary",MAX(0.1,MIN(0.5,IF($AM103&lt;&gt;"",$AM103,IF($AQ$7="",0.5*$C$4,$AQ$7))/$C$4)),MIN(0.5,IF($AM103&lt;&gt;"",$AM103,IF($AQ$7="",0.5*$C$4,$AQ$7))/$C$4))))</f>
        <v>0.093167701863354</v>
      </c>
      <c r="N103" s="98" t="n">
        <f aca="false">IF($AT103&lt;&gt;"",$AT103,IF(OR($I103="Not covered",$I103="Child-only"),0,IF($I103="Full",1,MIN(0.5,IF($AR$7="",0.5*$C$4,$AR$7)/$C$4))))</f>
        <v>0.093167701863354</v>
      </c>
      <c r="O103" s="1" t="n">
        <f aca="false">IF(OR($AF$7="",$AG$7=""),"",MAX(AF103/$AF$7,AG103/$AG$7)*100000*IF(AI103="",1,AI103))</f>
        <v>327.059664033179</v>
      </c>
      <c r="P103" s="1" t="n">
        <f aca="false">IF(O103="","",1-EXP(-O103/100000))</f>
        <v>0.00326525406519651</v>
      </c>
      <c r="Q103" s="1" t="s">
        <v>965</v>
      </c>
      <c r="R103" s="1" t="s">
        <v>1137</v>
      </c>
      <c r="S103" s="1" t="n">
        <f aca="false">IF($P103="","",$P103*J103*$C$4*$C$5)</f>
        <v>1280.00841592004</v>
      </c>
      <c r="T103" s="1" t="n">
        <f aca="false">IF($P103="","",$P103*K103*$C$4*$C$5)</f>
        <v>0</v>
      </c>
      <c r="U103" s="1" t="n">
        <f aca="false">IF($P103="","",$P103*L103*$C$4*$C$5)</f>
        <v>0</v>
      </c>
      <c r="V103" s="1" t="n">
        <f aca="false">IF($P103="","",$P103*M103*$C$4*$C$5)</f>
        <v>960.006311940029</v>
      </c>
      <c r="W103" s="1" t="n">
        <f aca="false">IF($P103="","",$P103*N103*$C$4*$C$5)</f>
        <v>960.006311940029</v>
      </c>
      <c r="X103" s="1" t="n">
        <f aca="false">IF(S103="","",S103/$E$7)</f>
        <v>0.0797441726790602</v>
      </c>
      <c r="Y103" s="1" t="n">
        <f aca="false">IF(T103="","",T103/$F$7)</f>
        <v>0</v>
      </c>
      <c r="Z103" s="1" t="n">
        <f aca="false">IF(U103="","",U103/$G$7)</f>
        <v>0</v>
      </c>
      <c r="AA103" s="1" t="n">
        <f aca="false">IF(V103="","",V103/$H$7)</f>
        <v>0.0675121234751297</v>
      </c>
      <c r="AB103" s="1" t="n">
        <f aca="false">IF(W103="","",W103/$I$7)</f>
        <v>0.0636646099816718</v>
      </c>
      <c r="AC103" s="1" t="str">
        <f aca="false">IF(COUNTIF(X103:AB103,"&gt;="&amp;$C$6)&gt;0,"PROMOTE","")</f>
        <v>PROMOTE</v>
      </c>
      <c r="AD103" s="1" t="str">
        <f aca="false">IF(COUNTIF(Sources_06!$B$33:$B$73,A103)&gt;0,"Y","")</f>
        <v/>
      </c>
      <c r="AE103" s="1" t="str">
        <f aca="false">IF(AD103="Y",MIN(0.5,Sources_06!$D$11/$C$4),"")</f>
        <v/>
      </c>
      <c r="AF103" s="1" t="n">
        <v>669</v>
      </c>
      <c r="AG103" s="1" t="n">
        <v>4230</v>
      </c>
      <c r="AH103" s="1" t="s">
        <v>1170</v>
      </c>
      <c r="AJ103" s="1" t="s">
        <v>1171</v>
      </c>
      <c r="AT103" s="1" t="n">
        <v>0.093167701863354</v>
      </c>
    </row>
    <row r="104" customFormat="false" ht="15" hidden="false" customHeight="true" outlineLevel="0" collapsed="false">
      <c r="A104" s="1" t="n">
        <v>100</v>
      </c>
      <c r="B104" s="1" t="str">
        <f aca="false">Wording_Ranks!B101</f>
        <v>Carcinoma in Situ – Renal Pelvis/Ureter</v>
      </c>
      <c r="C104" s="1" t="str">
        <f aca="false">Wording_Ranks!C101</f>
        <v>Oncology / Cancer</v>
      </c>
      <c r="D104" s="1" t="str">
        <f aca="false">Wording_Ranks!D101</f>
        <v>Low</v>
      </c>
      <c r="E104" s="1" t="str">
        <f aca="false">Wording_Ranks!F101</f>
        <v>Partial</v>
      </c>
      <c r="F104" s="1" t="str">
        <f aca="false">Wording_Ranks!H101</f>
        <v>Partial</v>
      </c>
      <c r="G104" s="1" t="str">
        <f aca="false">Wording_Ranks!J101</f>
        <v>Not covered</v>
      </c>
      <c r="H104" s="1" t="str">
        <f aca="false">Wording_Ranks!M101</f>
        <v>Partial</v>
      </c>
      <c r="I104" s="1" t="str">
        <f aca="false">Wording_Ranks!O101</f>
        <v>Not covered</v>
      </c>
      <c r="J104" s="98" t="n">
        <f aca="false">IF(OR($E104="Not covered",$E104="Child-only"),0,IF($E104="Full",1,IF($E104="Ancillary",MAX(0.1,MIN(0.5,IF($AN$7="",0.5*$C$4,$AN$7)/$C$4)),MIN(0.5,IF($AN$7="",0.5*$C$4,$AN$7)/$C$4))))</f>
        <v>0.124223602484472</v>
      </c>
      <c r="K104" s="98" t="n">
        <f aca="false">IF(OR($F104="Not covered",$F104="Child-only"),0,IF($F104="Full",1,IF($AD104="Y",$AE104,IF($F104="Ancillary",MAX(0.1,MIN(0.5,IF($AO$7="",0.5*$C$4,$AO$7)/$C$4)),MIN(0.5,IF($AO$7="",0.5*$C$4,$AO$7)/$C$4)))))</f>
        <v>0.093167701863354</v>
      </c>
      <c r="L104" s="98" t="n">
        <f aca="false">IF(OR($G104="Not covered",$G104="Child-only"),0,IF($G104="Full",1,IF($G104="Ancillary",MAX(0.1,MIN(0.5,IF($AS104&lt;&gt;"",$AS104,IF($AP$7="",0.5*$C$4,$AP$7))/$C$4)),MIN(0.5,IF($AS104&lt;&gt;"",$AS104,IF($AP$7="",0.5*$C$4,$AP$7))/$C$4))))</f>
        <v>0</v>
      </c>
      <c r="M104" s="98" t="n">
        <f aca="false">IF(OR($H104="Not covered",$H104="Child-only"),0,IF($H104="Full",1,IF($H104="Ancillary",MAX(0.1,MIN(0.5,IF($AM104&lt;&gt;"",$AM104,IF($AQ$7="",0.5*$C$4,$AQ$7))/$C$4)),MIN(0.5,IF($AM104&lt;&gt;"",$AM104,IF($AQ$7="",0.5*$C$4,$AQ$7))/$C$4))))</f>
        <v>0.093167701863354</v>
      </c>
      <c r="N104" s="98" t="n">
        <f aca="false">IF($AT104&lt;&gt;"",$AT104,IF(OR($I104="Not covered",$I104="Child-only"),0,IF($I104="Full",1,MIN(0.5,IF($AR$7="",0.5*$C$4,$AR$7)/$C$4))))</f>
        <v>0.093167701863354</v>
      </c>
      <c r="O104" s="1" t="n">
        <f aca="false">IF(OR($AF$7="",$AG$7=""),"",MAX(AF104/$AF$7,AG104/$AG$7)*100000*IF(AI104="",1,AI104))</f>
        <v>327.059664033179</v>
      </c>
      <c r="P104" s="1" t="n">
        <f aca="false">IF(O104="","",1-EXP(-O104/100000))</f>
        <v>0.00326525406519651</v>
      </c>
      <c r="Q104" s="1" t="s">
        <v>965</v>
      </c>
      <c r="R104" s="1" t="s">
        <v>1137</v>
      </c>
      <c r="S104" s="1" t="n">
        <f aca="false">IF($P104="","",$P104*J104*$C$4*$C$5)</f>
        <v>1280.00841592004</v>
      </c>
      <c r="T104" s="1" t="n">
        <f aca="false">IF($P104="","",$P104*K104*$C$4*$C$5)</f>
        <v>960.006311940029</v>
      </c>
      <c r="U104" s="1" t="n">
        <f aca="false">IF($P104="","",$P104*L104*$C$4*$C$5)</f>
        <v>0</v>
      </c>
      <c r="V104" s="1" t="n">
        <f aca="false">IF($P104="","",$P104*M104*$C$4*$C$5)</f>
        <v>960.006311940029</v>
      </c>
      <c r="W104" s="1" t="n">
        <f aca="false">IF($P104="","",$P104*N104*$C$4*$C$5)</f>
        <v>960.006311940029</v>
      </c>
      <c r="X104" s="1" t="n">
        <f aca="false">IF(S104="","",S104/$E$7)</f>
        <v>0.0797441726790602</v>
      </c>
      <c r="Y104" s="1" t="n">
        <f aca="false">IF(T104="","",T104/$F$7)</f>
        <v>0.0876240296816706</v>
      </c>
      <c r="Z104" s="1" t="n">
        <f aca="false">IF(U104="","",U104/$G$7)</f>
        <v>0</v>
      </c>
      <c r="AA104" s="1" t="n">
        <f aca="false">IF(V104="","",V104/$H$7)</f>
        <v>0.0675121234751297</v>
      </c>
      <c r="AB104" s="1" t="n">
        <f aca="false">IF(W104="","",W104/$I$7)</f>
        <v>0.0636646099816718</v>
      </c>
      <c r="AC104" s="1" t="str">
        <f aca="false">IF(COUNTIF(X104:AB104,"&gt;="&amp;$C$6)&gt;0,"PROMOTE","")</f>
        <v>PROMOTE</v>
      </c>
      <c r="AD104" s="1" t="str">
        <f aca="false">IF(COUNTIF(Sources_06!$B$33:$B$73,A104)&gt;0,"Y","")</f>
        <v>Y</v>
      </c>
      <c r="AE104" s="1" t="n">
        <f aca="false">IF(AD104="Y",MIN(0.5,Sources_06!$D$11/$C$4),"")</f>
        <v>0.093167701863354</v>
      </c>
      <c r="AF104" s="1" t="n">
        <v>669</v>
      </c>
      <c r="AG104" s="1" t="n">
        <v>4230</v>
      </c>
      <c r="AH104" s="1" t="s">
        <v>1170</v>
      </c>
      <c r="AJ104" s="1" t="s">
        <v>1171</v>
      </c>
      <c r="AT104" s="1" t="n">
        <v>0.093167701863354</v>
      </c>
    </row>
    <row r="105" customFormat="false" ht="15" hidden="false" customHeight="true" outlineLevel="0" collapsed="false">
      <c r="A105" s="1" t="n">
        <v>101</v>
      </c>
      <c r="B105" s="1" t="str">
        <f aca="false">Wording_Ranks!B102</f>
        <v>Carcinoma in Situ – Stomach</v>
      </c>
      <c r="C105" s="1" t="str">
        <f aca="false">Wording_Ranks!C102</f>
        <v>Oncology / Cancer</v>
      </c>
      <c r="D105" s="1" t="str">
        <f aca="false">Wording_Ranks!D102</f>
        <v>Low</v>
      </c>
      <c r="E105" s="1" t="str">
        <f aca="false">Wording_Ranks!F102</f>
        <v>Partial</v>
      </c>
      <c r="F105" s="1" t="str">
        <f aca="false">Wording_Ranks!H102</f>
        <v>Not covered</v>
      </c>
      <c r="G105" s="1" t="str">
        <f aca="false">Wording_Ranks!J102</f>
        <v>Not covered</v>
      </c>
      <c r="H105" s="1" t="str">
        <f aca="false">Wording_Ranks!M102</f>
        <v>Partial</v>
      </c>
      <c r="I105" s="1" t="str">
        <f aca="false">Wording_Ranks!O102</f>
        <v>Not covered</v>
      </c>
      <c r="J105" s="98" t="n">
        <f aca="false">IF(OR($E105="Not covered",$E105="Child-only"),0,IF($E105="Full",1,IF($E105="Ancillary",MAX(0.1,MIN(0.5,IF($AN$7="",0.5*$C$4,$AN$7)/$C$4)),MIN(0.5,IF($AN$7="",0.5*$C$4,$AN$7)/$C$4))))</f>
        <v>0.124223602484472</v>
      </c>
      <c r="K105" s="98" t="n">
        <f aca="false">IF(OR($F105="Not covered",$F105="Child-only"),0,IF($F105="Full",1,IF($AD105="Y",$AE105,IF($F105="Ancillary",MAX(0.1,MIN(0.5,IF($AO$7="",0.5*$C$4,$AO$7)/$C$4)),MIN(0.5,IF($AO$7="",0.5*$C$4,$AO$7)/$C$4)))))</f>
        <v>0</v>
      </c>
      <c r="L105" s="98" t="n">
        <f aca="false">IF(OR($G105="Not covered",$G105="Child-only"),0,IF($G105="Full",1,IF($G105="Ancillary",MAX(0.1,MIN(0.5,IF($AS105&lt;&gt;"",$AS105,IF($AP$7="",0.5*$C$4,$AP$7))/$C$4)),MIN(0.5,IF($AS105&lt;&gt;"",$AS105,IF($AP$7="",0.5*$C$4,$AP$7))/$C$4))))</f>
        <v>0</v>
      </c>
      <c r="M105" s="98" t="n">
        <f aca="false">IF(OR($H105="Not covered",$H105="Child-only"),0,IF($H105="Full",1,IF($H105="Ancillary",MAX(0.1,MIN(0.5,IF($AM105&lt;&gt;"",$AM105,IF($AQ$7="",0.5*$C$4,$AQ$7))/$C$4)),MIN(0.5,IF($AM105&lt;&gt;"",$AM105,IF($AQ$7="",0.5*$C$4,$AQ$7))/$C$4))))</f>
        <v>0.093167701863354</v>
      </c>
      <c r="N105" s="98" t="n">
        <f aca="false">IF($AT105&lt;&gt;"",$AT105,IF(OR($I105="Not covered",$I105="Child-only"),0,IF($I105="Full",1,MIN(0.5,IF($AR$7="",0.5*$C$4,$AR$7)/$C$4))))</f>
        <v>0.093167701863354</v>
      </c>
      <c r="O105" s="1" t="n">
        <f aca="false">IF(OR($AF$7="",$AG$7=""),"",MAX(AF105/$AF$7,AG105/$AG$7)*100000*IF(AI105="",1,AI105))</f>
        <v>327.059664033179</v>
      </c>
      <c r="P105" s="1" t="n">
        <f aca="false">IF(O105="","",1-EXP(-O105/100000))</f>
        <v>0.00326525406519651</v>
      </c>
      <c r="Q105" s="1" t="s">
        <v>965</v>
      </c>
      <c r="R105" s="1" t="s">
        <v>1137</v>
      </c>
      <c r="S105" s="1" t="n">
        <f aca="false">IF($P105="","",$P105*J105*$C$4*$C$5)</f>
        <v>1280.00841592004</v>
      </c>
      <c r="T105" s="1" t="n">
        <f aca="false">IF($P105="","",$P105*K105*$C$4*$C$5)</f>
        <v>0</v>
      </c>
      <c r="U105" s="1" t="n">
        <f aca="false">IF($P105="","",$P105*L105*$C$4*$C$5)</f>
        <v>0</v>
      </c>
      <c r="V105" s="1" t="n">
        <f aca="false">IF($P105="","",$P105*M105*$C$4*$C$5)</f>
        <v>960.006311940029</v>
      </c>
      <c r="W105" s="1" t="n">
        <f aca="false">IF($P105="","",$P105*N105*$C$4*$C$5)</f>
        <v>960.006311940029</v>
      </c>
      <c r="X105" s="1" t="n">
        <f aca="false">IF(S105="","",S105/$E$7)</f>
        <v>0.0797441726790602</v>
      </c>
      <c r="Y105" s="1" t="n">
        <f aca="false">IF(T105="","",T105/$F$7)</f>
        <v>0</v>
      </c>
      <c r="Z105" s="1" t="n">
        <f aca="false">IF(U105="","",U105/$G$7)</f>
        <v>0</v>
      </c>
      <c r="AA105" s="1" t="n">
        <f aca="false">IF(V105="","",V105/$H$7)</f>
        <v>0.0675121234751297</v>
      </c>
      <c r="AB105" s="1" t="n">
        <f aca="false">IF(W105="","",W105/$I$7)</f>
        <v>0.0636646099816718</v>
      </c>
      <c r="AC105" s="1" t="str">
        <f aca="false">IF(COUNTIF(X105:AB105,"&gt;="&amp;$C$6)&gt;0,"PROMOTE","")</f>
        <v>PROMOTE</v>
      </c>
      <c r="AD105" s="1" t="str">
        <f aca="false">IF(COUNTIF(Sources_06!$B$33:$B$73,A105)&gt;0,"Y","")</f>
        <v/>
      </c>
      <c r="AE105" s="1" t="str">
        <f aca="false">IF(AD105="Y",MIN(0.5,Sources_06!$D$11/$C$4),"")</f>
        <v/>
      </c>
      <c r="AF105" s="1" t="n">
        <v>669</v>
      </c>
      <c r="AG105" s="1" t="n">
        <v>4230</v>
      </c>
      <c r="AH105" s="1" t="s">
        <v>1170</v>
      </c>
      <c r="AJ105" s="1" t="s">
        <v>1171</v>
      </c>
      <c r="AT105" s="1" t="n">
        <v>0.093167701863354</v>
      </c>
    </row>
    <row r="106" customFormat="false" ht="15" hidden="false" customHeight="true" outlineLevel="0" collapsed="false">
      <c r="A106" s="1" t="n">
        <v>102</v>
      </c>
      <c r="B106" s="1" t="str">
        <f aca="false">Wording_Ranks!B103</f>
        <v>Carcinoma in Situ – Testicle</v>
      </c>
      <c r="C106" s="1" t="str">
        <f aca="false">Wording_Ranks!C103</f>
        <v>Oncology / Cancer</v>
      </c>
      <c r="D106" s="1" t="str">
        <f aca="false">Wording_Ranks!D103</f>
        <v>Low</v>
      </c>
      <c r="E106" s="1" t="str">
        <f aca="false">Wording_Ranks!F103</f>
        <v>Partial</v>
      </c>
      <c r="F106" s="1" t="str">
        <f aca="false">Wording_Ranks!H103</f>
        <v>Partial</v>
      </c>
      <c r="G106" s="1" t="str">
        <f aca="false">Wording_Ranks!J103</f>
        <v>Partial</v>
      </c>
      <c r="H106" s="1" t="str">
        <f aca="false">Wording_Ranks!M103</f>
        <v>Partial</v>
      </c>
      <c r="I106" s="1" t="str">
        <f aca="false">Wording_Ranks!O103</f>
        <v>Not covered</v>
      </c>
      <c r="J106" s="98" t="n">
        <f aca="false">IF(OR($E106="Not covered",$E106="Child-only"),0,IF($E106="Full",1,IF($E106="Ancillary",MAX(0.1,MIN(0.5,IF($AN$7="",0.5*$C$4,$AN$7)/$C$4)),MIN(0.5,IF($AN$7="",0.5*$C$4,$AN$7)/$C$4))))</f>
        <v>0.124223602484472</v>
      </c>
      <c r="K106" s="98" t="n">
        <f aca="false">IF(OR($F106="Not covered",$F106="Child-only"),0,IF($F106="Full",1,IF($AD106="Y",$AE106,IF($F106="Ancillary",MAX(0.1,MIN(0.5,IF($AO$7="",0.5*$C$4,$AO$7)/$C$4)),MIN(0.5,IF($AO$7="",0.5*$C$4,$AO$7)/$C$4)))))</f>
        <v>0.093167701863354</v>
      </c>
      <c r="L106" s="98" t="n">
        <f aca="false">IF(OR($G106="Not covered",$G106="Child-only"),0,IF($G106="Full",1,IF($G106="Ancillary",MAX(0.1,MIN(0.5,IF($AS106&lt;&gt;"",$AS106,IF($AP$7="",0.5*$C$4,$AP$7))/$C$4)),MIN(0.5,IF($AS106&lt;&gt;"",$AS106,IF($AP$7="",0.5*$C$4,$AP$7))/$C$4))))</f>
        <v>0.093167701863354</v>
      </c>
      <c r="M106" s="98" t="n">
        <f aca="false">IF(OR($H106="Not covered",$H106="Child-only"),0,IF($H106="Full",1,IF($H106="Ancillary",MAX(0.1,MIN(0.5,IF($AM106&lt;&gt;"",$AM106,IF($AQ$7="",0.5*$C$4,$AQ$7))/$C$4)),MIN(0.5,IF($AM106&lt;&gt;"",$AM106,IF($AQ$7="",0.5*$C$4,$AQ$7))/$C$4))))</f>
        <v>0.093167701863354</v>
      </c>
      <c r="N106" s="98" t="n">
        <f aca="false">IF($AT106&lt;&gt;"",$AT106,IF(OR($I106="Not covered",$I106="Child-only"),0,IF($I106="Full",1,MIN(0.5,IF($AR$7="",0.5*$C$4,$AR$7)/$C$4))))</f>
        <v>0.093167701863354</v>
      </c>
      <c r="O106" s="1" t="n">
        <f aca="false">IF(OR($AF$7="",$AG$7=""),"",MAX(AF106/$AF$7,AG106/$AG$7)*100000*IF(AI106="",1,AI106))</f>
        <v>327.059664033179</v>
      </c>
      <c r="P106" s="1" t="n">
        <f aca="false">IF(O106="","",1-EXP(-O106/100000))</f>
        <v>0.00326525406519651</v>
      </c>
      <c r="Q106" s="1" t="s">
        <v>965</v>
      </c>
      <c r="R106" s="1" t="s">
        <v>1137</v>
      </c>
      <c r="S106" s="1" t="n">
        <f aca="false">IF($P106="","",$P106*J106*$C$4*$C$5)</f>
        <v>1280.00841592004</v>
      </c>
      <c r="T106" s="1" t="n">
        <f aca="false">IF($P106="","",$P106*K106*$C$4*$C$5)</f>
        <v>960.006311940029</v>
      </c>
      <c r="U106" s="1" t="n">
        <f aca="false">IF($P106="","",$P106*L106*$C$4*$C$5)</f>
        <v>960.006311940029</v>
      </c>
      <c r="V106" s="1" t="n">
        <f aca="false">IF($P106="","",$P106*M106*$C$4*$C$5)</f>
        <v>960.006311940029</v>
      </c>
      <c r="W106" s="1" t="n">
        <f aca="false">IF($P106="","",$P106*N106*$C$4*$C$5)</f>
        <v>960.006311940029</v>
      </c>
      <c r="X106" s="1" t="n">
        <f aca="false">IF(S106="","",S106/$E$7)</f>
        <v>0.0797441726790602</v>
      </c>
      <c r="Y106" s="1" t="n">
        <f aca="false">IF(T106="","",T106/$F$7)</f>
        <v>0.0876240296816706</v>
      </c>
      <c r="Z106" s="1" t="n">
        <f aca="false">IF(U106="","",U106/$G$7)</f>
        <v>0.158752127049141</v>
      </c>
      <c r="AA106" s="1" t="n">
        <f aca="false">IF(V106="","",V106/$H$7)</f>
        <v>0.0675121234751297</v>
      </c>
      <c r="AB106" s="1" t="n">
        <f aca="false">IF(W106="","",W106/$I$7)</f>
        <v>0.0636646099816718</v>
      </c>
      <c r="AC106" s="1" t="str">
        <f aca="false">IF(COUNTIF(X106:AB106,"&gt;="&amp;$C$6)&gt;0,"PROMOTE","")</f>
        <v>PROMOTE</v>
      </c>
      <c r="AD106" s="1" t="str">
        <f aca="false">IF(COUNTIF(Sources_06!$B$33:$B$73,A106)&gt;0,"Y","")</f>
        <v>Y</v>
      </c>
      <c r="AE106" s="1" t="n">
        <f aca="false">IF(AD106="Y",MIN(0.5,Sources_06!$D$11/$C$4),"")</f>
        <v>0.093167701863354</v>
      </c>
      <c r="AF106" s="1" t="n">
        <v>669</v>
      </c>
      <c r="AG106" s="1" t="n">
        <v>4230</v>
      </c>
      <c r="AH106" s="1" t="s">
        <v>1170</v>
      </c>
      <c r="AJ106" s="1" t="s">
        <v>1171</v>
      </c>
      <c r="AT106" s="1" t="n">
        <v>0.093167701863354</v>
      </c>
    </row>
    <row r="107" customFormat="false" ht="15" hidden="false" customHeight="true" outlineLevel="0" collapsed="false">
      <c r="A107" s="1" t="n">
        <v>103</v>
      </c>
      <c r="B107" s="1" t="str">
        <f aca="false">Wording_Ranks!B104</f>
        <v>Carcinoma in Situ – Thymus</v>
      </c>
      <c r="C107" s="1" t="str">
        <f aca="false">Wording_Ranks!C104</f>
        <v>Oncology / Cancer</v>
      </c>
      <c r="D107" s="1" t="str">
        <f aca="false">Wording_Ranks!D104</f>
        <v>Rare</v>
      </c>
      <c r="E107" s="1" t="str">
        <f aca="false">Wording_Ranks!F104</f>
        <v>Partial</v>
      </c>
      <c r="F107" s="1" t="str">
        <f aca="false">Wording_Ranks!H104</f>
        <v>Not covered</v>
      </c>
      <c r="G107" s="1" t="str">
        <f aca="false">Wording_Ranks!J104</f>
        <v>Not covered</v>
      </c>
      <c r="H107" s="1" t="str">
        <f aca="false">Wording_Ranks!M104</f>
        <v>Partial</v>
      </c>
      <c r="I107" s="1" t="str">
        <f aca="false">Wording_Ranks!O104</f>
        <v>Not covered</v>
      </c>
      <c r="J107" s="98" t="n">
        <f aca="false">IF(OR($E107="Not covered",$E107="Child-only"),0,IF($E107="Full",1,IF($E107="Ancillary",MAX(0.1,MIN(0.5,IF($AN$7="",0.5*$C$4,$AN$7)/$C$4)),MIN(0.5,IF($AN$7="",0.5*$C$4,$AN$7)/$C$4))))</f>
        <v>0.124223602484472</v>
      </c>
      <c r="K107" s="98" t="n">
        <f aca="false">IF(OR($F107="Not covered",$F107="Child-only"),0,IF($F107="Full",1,IF($AD107="Y",$AE107,IF($F107="Ancillary",MAX(0.1,MIN(0.5,IF($AO$7="",0.5*$C$4,$AO$7)/$C$4)),MIN(0.5,IF($AO$7="",0.5*$C$4,$AO$7)/$C$4)))))</f>
        <v>0</v>
      </c>
      <c r="L107" s="98" t="n">
        <f aca="false">IF(OR($G107="Not covered",$G107="Child-only"),0,IF($G107="Full",1,IF($G107="Ancillary",MAX(0.1,MIN(0.5,IF($AS107&lt;&gt;"",$AS107,IF($AP$7="",0.5*$C$4,$AP$7))/$C$4)),MIN(0.5,IF($AS107&lt;&gt;"",$AS107,IF($AP$7="",0.5*$C$4,$AP$7))/$C$4))))</f>
        <v>0</v>
      </c>
      <c r="M107" s="98" t="n">
        <f aca="false">IF(OR($H107="Not covered",$H107="Child-only"),0,IF($H107="Full",1,IF($H107="Ancillary",MAX(0.1,MIN(0.5,IF($AM107&lt;&gt;"",$AM107,IF($AQ$7="",0.5*$C$4,$AQ$7))/$C$4)),MIN(0.5,IF($AM107&lt;&gt;"",$AM107,IF($AQ$7="",0.5*$C$4,$AQ$7))/$C$4))))</f>
        <v>0.093167701863354</v>
      </c>
      <c r="N107" s="98" t="n">
        <f aca="false">IF($AT107&lt;&gt;"",$AT107,IF(OR($I107="Not covered",$I107="Child-only"),0,IF($I107="Full",1,MIN(0.5,IF($AR$7="",0.5*$C$4,$AR$7)/$C$4))))</f>
        <v>0.093167701863354</v>
      </c>
      <c r="O107" s="1" t="n">
        <f aca="false">IF(OR($AF$7="",$AG$7=""),"",MAX(AF107/$AF$7,AG107/$AG$7)*100000*IF(AI107="",1,AI107))</f>
        <v>327.059664033179</v>
      </c>
      <c r="P107" s="1" t="n">
        <f aca="false">IF(O107="","",1-EXP(-O107/100000))</f>
        <v>0.00326525406519651</v>
      </c>
      <c r="Q107" s="1" t="s">
        <v>965</v>
      </c>
      <c r="R107" s="1" t="s">
        <v>1137</v>
      </c>
      <c r="S107" s="1" t="n">
        <f aca="false">IF($P107="","",$P107*J107*$C$4*$C$5)</f>
        <v>1280.00841592004</v>
      </c>
      <c r="T107" s="1" t="n">
        <f aca="false">IF($P107="","",$P107*K107*$C$4*$C$5)</f>
        <v>0</v>
      </c>
      <c r="U107" s="1" t="n">
        <f aca="false">IF($P107="","",$P107*L107*$C$4*$C$5)</f>
        <v>0</v>
      </c>
      <c r="V107" s="1" t="n">
        <f aca="false">IF($P107="","",$P107*M107*$C$4*$C$5)</f>
        <v>960.006311940029</v>
      </c>
      <c r="W107" s="1" t="n">
        <f aca="false">IF($P107="","",$P107*N107*$C$4*$C$5)</f>
        <v>960.006311940029</v>
      </c>
      <c r="X107" s="1" t="n">
        <f aca="false">IF(S107="","",S107/$E$7)</f>
        <v>0.0797441726790602</v>
      </c>
      <c r="Y107" s="1" t="n">
        <f aca="false">IF(T107="","",T107/$F$7)</f>
        <v>0</v>
      </c>
      <c r="Z107" s="1" t="n">
        <f aca="false">IF(U107="","",U107/$G$7)</f>
        <v>0</v>
      </c>
      <c r="AA107" s="1" t="n">
        <f aca="false">IF(V107="","",V107/$H$7)</f>
        <v>0.0675121234751297</v>
      </c>
      <c r="AB107" s="1" t="n">
        <f aca="false">IF(W107="","",W107/$I$7)</f>
        <v>0.0636646099816718</v>
      </c>
      <c r="AC107" s="1" t="str">
        <f aca="false">IF(COUNTIF(X107:AB107,"&gt;="&amp;$C$6)&gt;0,"PROMOTE","")</f>
        <v>PROMOTE</v>
      </c>
      <c r="AD107" s="1" t="str">
        <f aca="false">IF(COUNTIF(Sources_06!$B$33:$B$73,A107)&gt;0,"Y","")</f>
        <v/>
      </c>
      <c r="AE107" s="1" t="str">
        <f aca="false">IF(AD107="Y",MIN(0.5,Sources_06!$D$11/$C$4),"")</f>
        <v/>
      </c>
      <c r="AF107" s="1" t="n">
        <v>669</v>
      </c>
      <c r="AG107" s="1" t="n">
        <v>4230</v>
      </c>
      <c r="AH107" s="1" t="s">
        <v>1170</v>
      </c>
      <c r="AJ107" s="1" t="s">
        <v>1171</v>
      </c>
      <c r="AT107" s="1" t="n">
        <v>0.093167701863354</v>
      </c>
    </row>
    <row r="108" customFormat="false" ht="15" hidden="false" customHeight="true" outlineLevel="0" collapsed="false">
      <c r="A108" s="1" t="n">
        <v>104</v>
      </c>
      <c r="B108" s="1" t="str">
        <f aca="false">Wording_Ranks!B105</f>
        <v>Carcinoma in Situ – Urinary Bladder</v>
      </c>
      <c r="C108" s="1" t="str">
        <f aca="false">Wording_Ranks!C105</f>
        <v>Oncology / Cancer</v>
      </c>
      <c r="D108" s="1" t="str">
        <f aca="false">Wording_Ranks!D105</f>
        <v>Medium</v>
      </c>
      <c r="E108" s="1" t="str">
        <f aca="false">Wording_Ranks!F105</f>
        <v>Partial</v>
      </c>
      <c r="F108" s="1" t="str">
        <f aca="false">Wording_Ranks!H105</f>
        <v>Partial</v>
      </c>
      <c r="G108" s="1" t="str">
        <f aca="false">Wording_Ranks!J105</f>
        <v>Partial</v>
      </c>
      <c r="H108" s="1" t="str">
        <f aca="false">Wording_Ranks!M105</f>
        <v>Partial</v>
      </c>
      <c r="I108" s="1" t="str">
        <f aca="false">Wording_Ranks!O105</f>
        <v>Partial</v>
      </c>
      <c r="J108" s="98" t="n">
        <f aca="false">IF(OR($E108="Not covered",$E108="Child-only"),0,IF($E108="Full",1,IF($E108="Ancillary",MAX(0.1,MIN(0.5,IF($AN$7="",0.5*$C$4,$AN$7)/$C$4)),MIN(0.5,IF($AN$7="",0.5*$C$4,$AN$7)/$C$4))))</f>
        <v>0.124223602484472</v>
      </c>
      <c r="K108" s="98" t="n">
        <f aca="false">IF(OR($F108="Not covered",$F108="Child-only"),0,IF($F108="Full",1,IF($AD108="Y",$AE108,IF($F108="Ancillary",MAX(0.1,MIN(0.5,IF($AO$7="",0.5*$C$4,$AO$7)/$C$4)),MIN(0.5,IF($AO$7="",0.5*$C$4,$AO$7)/$C$4)))))</f>
        <v>0.093167701863354</v>
      </c>
      <c r="L108" s="98" t="n">
        <f aca="false">IF(OR($G108="Not covered",$G108="Child-only"),0,IF($G108="Full",1,IF($G108="Ancillary",MAX(0.1,MIN(0.5,IF($AS108&lt;&gt;"",$AS108,IF($AP$7="",0.5*$C$4,$AP$7))/$C$4)),MIN(0.5,IF($AS108&lt;&gt;"",$AS108,IF($AP$7="",0.5*$C$4,$AP$7))/$C$4))))</f>
        <v>0.093167701863354</v>
      </c>
      <c r="M108" s="98" t="n">
        <f aca="false">IF(OR($H108="Not covered",$H108="Child-only"),0,IF($H108="Full",1,IF($H108="Ancillary",MAX(0.1,MIN(0.5,IF($AM108&lt;&gt;"",$AM108,IF($AQ$7="",0.5*$C$4,$AQ$7))/$C$4)),MIN(0.5,IF($AM108&lt;&gt;"",$AM108,IF($AQ$7="",0.5*$C$4,$AQ$7))/$C$4))))</f>
        <v>0.093167701863354</v>
      </c>
      <c r="N108" s="98" t="n">
        <f aca="false">IF(OR($I108="Not covered",$I108="Child-only"),0,IF($I108="Full",1,IF($I108="Ancillary",MAX(0.1,MIN(0.5,IF($AR$7="",0.5*$C$4,$AR$7)/$C$4)),MIN(0.5,IF($AR$7="",0.5*$C$4,$AR$7)/$C$4))))</f>
        <v>0.093167701863354</v>
      </c>
      <c r="O108" s="1" t="n">
        <f aca="false">IF(OR($AF$7="",$AG$7=""),"",MAX(AF108/$AF$7,AG108/$AG$7)*100000*IF(AI108="",1,AI108))</f>
        <v>327.059664033179</v>
      </c>
      <c r="P108" s="1" t="n">
        <f aca="false">IF(O108="","",1-EXP(-O108/100000))</f>
        <v>0.00326525406519651</v>
      </c>
      <c r="Q108" s="1" t="s">
        <v>965</v>
      </c>
      <c r="R108" s="1" t="s">
        <v>1137</v>
      </c>
      <c r="S108" s="1" t="n">
        <f aca="false">IF($P108="","",$P108*J108*$C$4*$C$5)</f>
        <v>1280.00841592004</v>
      </c>
      <c r="T108" s="1" t="n">
        <f aca="false">IF($P108="","",$P108*K108*$C$4*$C$5)</f>
        <v>960.006311940029</v>
      </c>
      <c r="U108" s="1" t="n">
        <f aca="false">IF($P108="","",$P108*L108*$C$4*$C$5)</f>
        <v>960.006311940029</v>
      </c>
      <c r="V108" s="1" t="n">
        <f aca="false">IF($P108="","",$P108*M108*$C$4*$C$5)</f>
        <v>960.006311940029</v>
      </c>
      <c r="W108" s="1" t="n">
        <f aca="false">IF($P108="","",$P108*N108*$C$4*$C$5)</f>
        <v>960.006311940029</v>
      </c>
      <c r="X108" s="1" t="n">
        <f aca="false">IF(S108="","",S108/$E$7)</f>
        <v>0.0797441726790602</v>
      </c>
      <c r="Y108" s="1" t="n">
        <f aca="false">IF(T108="","",T108/$F$7)</f>
        <v>0.0876240296816706</v>
      </c>
      <c r="Z108" s="1" t="n">
        <f aca="false">IF(U108="","",U108/$G$7)</f>
        <v>0.158752127049141</v>
      </c>
      <c r="AA108" s="1" t="n">
        <f aca="false">IF(V108="","",V108/$H$7)</f>
        <v>0.0675121234751297</v>
      </c>
      <c r="AB108" s="1" t="n">
        <f aca="false">IF(W108="","",W108/$I$7)</f>
        <v>0.0636646099816718</v>
      </c>
      <c r="AC108" s="1" t="str">
        <f aca="false">IF(COUNTIF(X108:AB108,"&gt;="&amp;$C$6)&gt;0,"PROMOTE","")</f>
        <v>PROMOTE</v>
      </c>
      <c r="AD108" s="1" t="str">
        <f aca="false">IF(COUNTIF(Sources_06!$B$33:$B$73,A108)&gt;0,"Y","")</f>
        <v>Y</v>
      </c>
      <c r="AE108" s="1" t="n">
        <f aca="false">IF(AD108="Y",MIN(0.5,Sources_06!$D$11/$C$4),"")</f>
        <v>0.093167701863354</v>
      </c>
      <c r="AF108" s="1" t="n">
        <v>669</v>
      </c>
      <c r="AG108" s="1" t="n">
        <v>4230</v>
      </c>
      <c r="AH108" s="1" t="s">
        <v>1170</v>
      </c>
      <c r="AJ108" s="1" t="s">
        <v>1171</v>
      </c>
    </row>
    <row r="109" customFormat="false" ht="15" hidden="false" customHeight="true" outlineLevel="0" collapsed="false">
      <c r="A109" s="1" t="n">
        <v>105</v>
      </c>
      <c r="B109" s="1" t="str">
        <f aca="false">Wording_Ranks!B106</f>
        <v>Carcinoma in Situ – Uterus</v>
      </c>
      <c r="C109" s="1" t="str">
        <f aca="false">Wording_Ranks!C106</f>
        <v>Oncology / Cancer</v>
      </c>
      <c r="D109" s="1" t="str">
        <f aca="false">Wording_Ranks!D106</f>
        <v>Low</v>
      </c>
      <c r="E109" s="1" t="str">
        <f aca="false">Wording_Ranks!F106</f>
        <v>Partial</v>
      </c>
      <c r="F109" s="1" t="str">
        <f aca="false">Wording_Ranks!H106</f>
        <v>Partial</v>
      </c>
      <c r="G109" s="1" t="str">
        <f aca="false">Wording_Ranks!J106</f>
        <v>Not covered</v>
      </c>
      <c r="H109" s="1" t="str">
        <f aca="false">Wording_Ranks!M106</f>
        <v>Partial</v>
      </c>
      <c r="I109" s="1" t="str">
        <f aca="false">Wording_Ranks!O106</f>
        <v>Not covered</v>
      </c>
      <c r="J109" s="98" t="n">
        <f aca="false">IF(OR($E109="Not covered",$E109="Child-only"),0,IF($E109="Full",1,IF($E109="Ancillary",MAX(0.1,MIN(0.5,IF($AN$7="",0.5*$C$4,$AN$7)/$C$4)),MIN(0.5,IF($AN$7="",0.5*$C$4,$AN$7)/$C$4))))</f>
        <v>0.124223602484472</v>
      </c>
      <c r="K109" s="98" t="n">
        <f aca="false">IF(OR($F109="Not covered",$F109="Child-only"),0,IF($F109="Full",1,IF($AD109="Y",$AE109,IF($F109="Ancillary",MAX(0.1,MIN(0.5,IF($AO$7="",0.5*$C$4,$AO$7)/$C$4)),MIN(0.5,IF($AO$7="",0.5*$C$4,$AO$7)/$C$4)))))</f>
        <v>0.093167701863354</v>
      </c>
      <c r="L109" s="98" t="n">
        <f aca="false">IF(OR($G109="Not covered",$G109="Child-only"),0,IF($G109="Full",1,IF($G109="Ancillary",MAX(0.1,MIN(0.5,IF($AS109&lt;&gt;"",$AS109,IF($AP$7="",0.5*$C$4,$AP$7))/$C$4)),MIN(0.5,IF($AS109&lt;&gt;"",$AS109,IF($AP$7="",0.5*$C$4,$AP$7))/$C$4))))</f>
        <v>0</v>
      </c>
      <c r="M109" s="98" t="n">
        <f aca="false">IF(OR($H109="Not covered",$H109="Child-only"),0,IF($H109="Full",1,IF($H109="Ancillary",MAX(0.1,MIN(0.5,IF($AM109&lt;&gt;"",$AM109,IF($AQ$7="",0.5*$C$4,$AQ$7))/$C$4)),MIN(0.5,IF($AM109&lt;&gt;"",$AM109,IF($AQ$7="",0.5*$C$4,$AQ$7))/$C$4))))</f>
        <v>0.093167701863354</v>
      </c>
      <c r="N109" s="98" t="n">
        <f aca="false">IF($AT109&lt;&gt;"",$AT109,IF(OR($I109="Not covered",$I109="Child-only"),0,IF($I109="Full",1,MIN(0.5,IF($AR$7="",0.5*$C$4,$AR$7)/$C$4))))</f>
        <v>0.093167701863354</v>
      </c>
      <c r="O109" s="1" t="n">
        <f aca="false">IF(OR($AF$7="",$AG$7=""),"",MAX(AF109/$AF$7,AG109/$AG$7)*100000*IF(AI109="",1,AI109))</f>
        <v>327.059664033179</v>
      </c>
      <c r="P109" s="1" t="n">
        <f aca="false">IF(O109="","",1-EXP(-O109/100000))</f>
        <v>0.00326525406519651</v>
      </c>
      <c r="Q109" s="1" t="s">
        <v>965</v>
      </c>
      <c r="R109" s="1" t="s">
        <v>1137</v>
      </c>
      <c r="S109" s="1" t="n">
        <f aca="false">IF($P109="","",$P109*J109*$C$4*$C$5)</f>
        <v>1280.00841592004</v>
      </c>
      <c r="T109" s="1" t="n">
        <f aca="false">IF($P109="","",$P109*K109*$C$4*$C$5)</f>
        <v>960.006311940029</v>
      </c>
      <c r="U109" s="1" t="n">
        <f aca="false">IF($P109="","",$P109*L109*$C$4*$C$5)</f>
        <v>0</v>
      </c>
      <c r="V109" s="1" t="n">
        <f aca="false">IF($P109="","",$P109*M109*$C$4*$C$5)</f>
        <v>960.006311940029</v>
      </c>
      <c r="W109" s="1" t="n">
        <f aca="false">IF($P109="","",$P109*N109*$C$4*$C$5)</f>
        <v>960.006311940029</v>
      </c>
      <c r="X109" s="1" t="n">
        <f aca="false">IF(S109="","",S109/$E$7)</f>
        <v>0.0797441726790602</v>
      </c>
      <c r="Y109" s="1" t="n">
        <f aca="false">IF(T109="","",T109/$F$7)</f>
        <v>0.0876240296816706</v>
      </c>
      <c r="Z109" s="1" t="n">
        <f aca="false">IF(U109="","",U109/$G$7)</f>
        <v>0</v>
      </c>
      <c r="AA109" s="1" t="n">
        <f aca="false">IF(V109="","",V109/$H$7)</f>
        <v>0.0675121234751297</v>
      </c>
      <c r="AB109" s="1" t="n">
        <f aca="false">IF(W109="","",W109/$I$7)</f>
        <v>0.0636646099816718</v>
      </c>
      <c r="AC109" s="1" t="str">
        <f aca="false">IF(COUNTIF(X109:AB109,"&gt;="&amp;$C$6)&gt;0,"PROMOTE","")</f>
        <v>PROMOTE</v>
      </c>
      <c r="AD109" s="1" t="str">
        <f aca="false">IF(COUNTIF(Sources_06!$B$33:$B$73,A109)&gt;0,"Y","")</f>
        <v>Y</v>
      </c>
      <c r="AE109" s="1" t="n">
        <f aca="false">IF(AD109="Y",MIN(0.5,Sources_06!$D$11/$C$4),"")</f>
        <v>0.093167701863354</v>
      </c>
      <c r="AF109" s="1" t="n">
        <v>669</v>
      </c>
      <c r="AG109" s="1" t="n">
        <v>4230</v>
      </c>
      <c r="AH109" s="1" t="s">
        <v>1170</v>
      </c>
      <c r="AJ109" s="1" t="s">
        <v>1171</v>
      </c>
      <c r="AT109" s="1" t="n">
        <v>0.093167701863354</v>
      </c>
    </row>
    <row r="110" customFormat="false" ht="15" hidden="false" customHeight="true" outlineLevel="0" collapsed="false">
      <c r="A110" s="1" t="n">
        <v>106</v>
      </c>
      <c r="B110" s="1" t="str">
        <f aca="false">Wording_Ranks!B107</f>
        <v>Carcinoma in Situ – Vagina</v>
      </c>
      <c r="C110" s="1" t="str">
        <f aca="false">Wording_Ranks!C107</f>
        <v>Oncology / Cancer</v>
      </c>
      <c r="D110" s="1" t="str">
        <f aca="false">Wording_Ranks!D107</f>
        <v>Rare</v>
      </c>
      <c r="E110" s="1" t="str">
        <f aca="false">Wording_Ranks!F107</f>
        <v>Partial</v>
      </c>
      <c r="F110" s="1" t="str">
        <f aca="false">Wording_Ranks!H107</f>
        <v>Partial</v>
      </c>
      <c r="G110" s="1" t="str">
        <f aca="false">Wording_Ranks!J107</f>
        <v>Partial</v>
      </c>
      <c r="H110" s="1" t="str">
        <f aca="false">Wording_Ranks!M107</f>
        <v>Partial</v>
      </c>
      <c r="I110" s="1" t="str">
        <f aca="false">Wording_Ranks!O107</f>
        <v>Not covered</v>
      </c>
      <c r="J110" s="98" t="n">
        <f aca="false">IF(OR($E110="Not covered",$E110="Child-only"),0,IF($E110="Full",1,IF($E110="Ancillary",MAX(0.1,MIN(0.5,IF($AN$7="",0.5*$C$4,$AN$7)/$C$4)),MIN(0.5,IF($AN$7="",0.5*$C$4,$AN$7)/$C$4))))</f>
        <v>0.124223602484472</v>
      </c>
      <c r="K110" s="98" t="n">
        <f aca="false">IF(OR($F110="Not covered",$F110="Child-only"),0,IF($F110="Full",1,IF($AD110="Y",$AE110,IF($F110="Ancillary",MAX(0.1,MIN(0.5,IF($AO$7="",0.5*$C$4,$AO$7)/$C$4)),MIN(0.5,IF($AO$7="",0.5*$C$4,$AO$7)/$C$4)))))</f>
        <v>0.093167701863354</v>
      </c>
      <c r="L110" s="98" t="n">
        <f aca="false">IF(OR($G110="Not covered",$G110="Child-only"),0,IF($G110="Full",1,IF($G110="Ancillary",MAX(0.1,MIN(0.5,IF($AS110&lt;&gt;"",$AS110,IF($AP$7="",0.5*$C$4,$AP$7))/$C$4)),MIN(0.5,IF($AS110&lt;&gt;"",$AS110,IF($AP$7="",0.5*$C$4,$AP$7))/$C$4))))</f>
        <v>0.093167701863354</v>
      </c>
      <c r="M110" s="98" t="n">
        <f aca="false">IF(OR($H110="Not covered",$H110="Child-only"),0,IF($H110="Full",1,IF($H110="Ancillary",MAX(0.1,MIN(0.5,IF($AM110&lt;&gt;"",$AM110,IF($AQ$7="",0.5*$C$4,$AQ$7))/$C$4)),MIN(0.5,IF($AM110&lt;&gt;"",$AM110,IF($AQ$7="",0.5*$C$4,$AQ$7))/$C$4))))</f>
        <v>0.093167701863354</v>
      </c>
      <c r="N110" s="98" t="n">
        <f aca="false">IF($AT110&lt;&gt;"",$AT110,IF(OR($I110="Not covered",$I110="Child-only"),0,IF($I110="Full",1,MIN(0.5,IF($AR$7="",0.5*$C$4,$AR$7)/$C$4))))</f>
        <v>0.093167701863354</v>
      </c>
      <c r="O110" s="1" t="n">
        <f aca="false">IF(OR($AF$7="",$AG$7=""),"",MAX(AF110/$AF$7,AG110/$AG$7)*100000*IF(AI110="",1,AI110))</f>
        <v>327.059664033179</v>
      </c>
      <c r="P110" s="1" t="n">
        <f aca="false">IF(O110="","",1-EXP(-O110/100000))</f>
        <v>0.00326525406519651</v>
      </c>
      <c r="Q110" s="1" t="s">
        <v>965</v>
      </c>
      <c r="R110" s="1" t="s">
        <v>1137</v>
      </c>
      <c r="S110" s="1" t="n">
        <f aca="false">IF($P110="","",$P110*J110*$C$4*$C$5)</f>
        <v>1280.00841592004</v>
      </c>
      <c r="T110" s="1" t="n">
        <f aca="false">IF($P110="","",$P110*K110*$C$4*$C$5)</f>
        <v>960.006311940029</v>
      </c>
      <c r="U110" s="1" t="n">
        <f aca="false">IF($P110="","",$P110*L110*$C$4*$C$5)</f>
        <v>960.006311940029</v>
      </c>
      <c r="V110" s="1" t="n">
        <f aca="false">IF($P110="","",$P110*M110*$C$4*$C$5)</f>
        <v>960.006311940029</v>
      </c>
      <c r="W110" s="1" t="n">
        <f aca="false">IF($P110="","",$P110*N110*$C$4*$C$5)</f>
        <v>960.006311940029</v>
      </c>
      <c r="X110" s="1" t="n">
        <f aca="false">IF(S110="","",S110/$E$7)</f>
        <v>0.0797441726790602</v>
      </c>
      <c r="Y110" s="1" t="n">
        <f aca="false">IF(T110="","",T110/$F$7)</f>
        <v>0.0876240296816706</v>
      </c>
      <c r="Z110" s="1" t="n">
        <f aca="false">IF(U110="","",U110/$G$7)</f>
        <v>0.158752127049141</v>
      </c>
      <c r="AA110" s="1" t="n">
        <f aca="false">IF(V110="","",V110/$H$7)</f>
        <v>0.0675121234751297</v>
      </c>
      <c r="AB110" s="1" t="n">
        <f aca="false">IF(W110="","",W110/$I$7)</f>
        <v>0.0636646099816718</v>
      </c>
      <c r="AC110" s="1" t="str">
        <f aca="false">IF(COUNTIF(X110:AB110,"&gt;="&amp;$C$6)&gt;0,"PROMOTE","")</f>
        <v>PROMOTE</v>
      </c>
      <c r="AD110" s="1" t="str">
        <f aca="false">IF(COUNTIF(Sources_06!$B$33:$B$73,A110)&gt;0,"Y","")</f>
        <v>Y</v>
      </c>
      <c r="AE110" s="1" t="n">
        <f aca="false">IF(AD110="Y",MIN(0.5,Sources_06!$D$11/$C$4),"")</f>
        <v>0.093167701863354</v>
      </c>
      <c r="AF110" s="1" t="n">
        <v>669</v>
      </c>
      <c r="AG110" s="1" t="n">
        <v>4230</v>
      </c>
      <c r="AH110" s="1" t="s">
        <v>1170</v>
      </c>
      <c r="AJ110" s="1" t="s">
        <v>1171</v>
      </c>
      <c r="AT110" s="1" t="n">
        <v>0.093167701863354</v>
      </c>
    </row>
    <row r="111" customFormat="false" ht="15" hidden="false" customHeight="true" outlineLevel="0" collapsed="false">
      <c r="A111" s="1" t="n">
        <v>107</v>
      </c>
      <c r="B111" s="1" t="str">
        <f aca="false">Wording_Ranks!B108</f>
        <v>Carcinoma in Situ – Vulva</v>
      </c>
      <c r="C111" s="1" t="str">
        <f aca="false">Wording_Ranks!C108</f>
        <v>Oncology / Cancer</v>
      </c>
      <c r="D111" s="1" t="str">
        <f aca="false">Wording_Ranks!D108</f>
        <v>Rare</v>
      </c>
      <c r="E111" s="1" t="str">
        <f aca="false">Wording_Ranks!F108</f>
        <v>Partial</v>
      </c>
      <c r="F111" s="1" t="str">
        <f aca="false">Wording_Ranks!H108</f>
        <v>Partial</v>
      </c>
      <c r="G111" s="1" t="str">
        <f aca="false">Wording_Ranks!J108</f>
        <v>Partial</v>
      </c>
      <c r="H111" s="1" t="str">
        <f aca="false">Wording_Ranks!M108</f>
        <v>Partial</v>
      </c>
      <c r="I111" s="1" t="str">
        <f aca="false">Wording_Ranks!O108</f>
        <v>Not covered</v>
      </c>
      <c r="J111" s="98" t="n">
        <f aca="false">IF(OR($E111="Not covered",$E111="Child-only"),0,IF($E111="Full",1,IF($E111="Ancillary",MAX(0.1,MIN(0.5,IF($AN$7="",0.5*$C$4,$AN$7)/$C$4)),MIN(0.5,IF($AN$7="",0.5*$C$4,$AN$7)/$C$4))))</f>
        <v>0.124223602484472</v>
      </c>
      <c r="K111" s="98" t="n">
        <f aca="false">IF(OR($F111="Not covered",$F111="Child-only"),0,IF($F111="Full",1,IF($AD111="Y",$AE111,IF($F111="Ancillary",MAX(0.1,MIN(0.5,IF($AO$7="",0.5*$C$4,$AO$7)/$C$4)),MIN(0.5,IF($AO$7="",0.5*$C$4,$AO$7)/$C$4)))))</f>
        <v>0.093167701863354</v>
      </c>
      <c r="L111" s="98" t="n">
        <f aca="false">IF(OR($G111="Not covered",$G111="Child-only"),0,IF($G111="Full",1,IF($G111="Ancillary",MAX(0.1,MIN(0.5,IF($AS111&lt;&gt;"",$AS111,IF($AP$7="",0.5*$C$4,$AP$7))/$C$4)),MIN(0.5,IF($AS111&lt;&gt;"",$AS111,IF($AP$7="",0.5*$C$4,$AP$7))/$C$4))))</f>
        <v>0.093167701863354</v>
      </c>
      <c r="M111" s="98" t="n">
        <f aca="false">IF(OR($H111="Not covered",$H111="Child-only"),0,IF($H111="Full",1,IF($H111="Ancillary",MAX(0.1,MIN(0.5,IF($AM111&lt;&gt;"",$AM111,IF($AQ$7="",0.5*$C$4,$AQ$7))/$C$4)),MIN(0.5,IF($AM111&lt;&gt;"",$AM111,IF($AQ$7="",0.5*$C$4,$AQ$7))/$C$4))))</f>
        <v>0.093167701863354</v>
      </c>
      <c r="N111" s="98" t="n">
        <f aca="false">IF($AT111&lt;&gt;"",$AT111,IF(OR($I111="Not covered",$I111="Child-only"),0,IF($I111="Full",1,MIN(0.5,IF($AR$7="",0.5*$C$4,$AR$7)/$C$4))))</f>
        <v>0.093167701863354</v>
      </c>
      <c r="O111" s="1" t="n">
        <f aca="false">IF(OR($AF$7="",$AG$7=""),"",MAX(AF111/$AF$7,AG111/$AG$7)*100000*IF(AI111="",1,AI111))</f>
        <v>327.059664033179</v>
      </c>
      <c r="P111" s="1" t="n">
        <f aca="false">IF(O111="","",1-EXP(-O111/100000))</f>
        <v>0.00326525406519651</v>
      </c>
      <c r="Q111" s="1" t="s">
        <v>965</v>
      </c>
      <c r="R111" s="1" t="s">
        <v>1137</v>
      </c>
      <c r="S111" s="1" t="n">
        <f aca="false">IF($P111="","",$P111*J111*$C$4*$C$5)</f>
        <v>1280.00841592004</v>
      </c>
      <c r="T111" s="1" t="n">
        <f aca="false">IF($P111="","",$P111*K111*$C$4*$C$5)</f>
        <v>960.006311940029</v>
      </c>
      <c r="U111" s="1" t="n">
        <f aca="false">IF($P111="","",$P111*L111*$C$4*$C$5)</f>
        <v>960.006311940029</v>
      </c>
      <c r="V111" s="1" t="n">
        <f aca="false">IF($P111="","",$P111*M111*$C$4*$C$5)</f>
        <v>960.006311940029</v>
      </c>
      <c r="W111" s="1" t="n">
        <f aca="false">IF($P111="","",$P111*N111*$C$4*$C$5)</f>
        <v>960.006311940029</v>
      </c>
      <c r="X111" s="1" t="n">
        <f aca="false">IF(S111="","",S111/$E$7)</f>
        <v>0.0797441726790602</v>
      </c>
      <c r="Y111" s="1" t="n">
        <f aca="false">IF(T111="","",T111/$F$7)</f>
        <v>0.0876240296816706</v>
      </c>
      <c r="Z111" s="1" t="n">
        <f aca="false">IF(U111="","",U111/$G$7)</f>
        <v>0.158752127049141</v>
      </c>
      <c r="AA111" s="1" t="n">
        <f aca="false">IF(V111="","",V111/$H$7)</f>
        <v>0.0675121234751297</v>
      </c>
      <c r="AB111" s="1" t="n">
        <f aca="false">IF(W111="","",W111/$I$7)</f>
        <v>0.0636646099816718</v>
      </c>
      <c r="AC111" s="1" t="str">
        <f aca="false">IF(COUNTIF(X111:AB111,"&gt;="&amp;$C$6)&gt;0,"PROMOTE","")</f>
        <v>PROMOTE</v>
      </c>
      <c r="AD111" s="1" t="str">
        <f aca="false">IF(COUNTIF(Sources_06!$B$33:$B$73,A111)&gt;0,"Y","")</f>
        <v>Y</v>
      </c>
      <c r="AE111" s="1" t="n">
        <f aca="false">IF(AD111="Y",MIN(0.5,Sources_06!$D$11/$C$4),"")</f>
        <v>0.093167701863354</v>
      </c>
      <c r="AF111" s="1" t="n">
        <v>669</v>
      </c>
      <c r="AG111" s="1" t="n">
        <v>4230</v>
      </c>
      <c r="AH111" s="1" t="s">
        <v>1170</v>
      </c>
      <c r="AJ111" s="1" t="s">
        <v>1171</v>
      </c>
      <c r="AT111" s="1" t="n">
        <v>0.093167701863354</v>
      </c>
    </row>
    <row r="112" customFormat="false" ht="15" hidden="false" customHeight="true" outlineLevel="0" collapsed="false">
      <c r="A112" s="1" t="n">
        <v>108</v>
      </c>
      <c r="B112" s="1" t="str">
        <f aca="false">Wording_Ranks!B109</f>
        <v>Desmoid-Type Fibromatosis</v>
      </c>
      <c r="C112" s="1" t="str">
        <f aca="false">Wording_Ranks!C109</f>
        <v>Oncology / Cancer</v>
      </c>
      <c r="D112" s="1" t="str">
        <f aca="false">Wording_Ranks!D109</f>
        <v>Rare</v>
      </c>
      <c r="E112" s="1" t="str">
        <f aca="false">Wording_Ranks!F109</f>
        <v>Not covered</v>
      </c>
      <c r="F112" s="1" t="str">
        <f aca="false">Wording_Ranks!H109</f>
        <v>Not covered</v>
      </c>
      <c r="G112" s="1" t="str">
        <f aca="false">Wording_Ranks!J109</f>
        <v>Not covered</v>
      </c>
      <c r="H112" s="1" t="str">
        <f aca="false">Wording_Ranks!M109</f>
        <v>Partial</v>
      </c>
      <c r="I112" s="1" t="str">
        <f aca="false">Wording_Ranks!O109</f>
        <v>Not covered</v>
      </c>
      <c r="J112" s="98" t="n">
        <f aca="false">IF(OR($E112="Not covered",$E112="Child-only"),0,IF($E112="Full",1,IF($E112="Ancillary",MAX(0.1,MIN(0.5,IF($AN$7="",0.5*$C$4,$AN$7)/$C$4)),MIN(0.5,IF($AN$7="",0.5*$C$4,$AN$7)/$C$4))))</f>
        <v>0</v>
      </c>
      <c r="K112" s="98" t="n">
        <f aca="false">IF(OR($F112="Not covered",$F112="Child-only"),0,IF($F112="Full",1,IF($AD112="Y",$AE112,IF($F112="Ancillary",MAX(0.1,MIN(0.5,IF($AO$7="",0.5*$C$4,$AO$7)/$C$4)),MIN(0.5,IF($AO$7="",0.5*$C$4,$AO$7)/$C$4)))))</f>
        <v>0</v>
      </c>
      <c r="L112" s="98" t="n">
        <f aca="false">IF(OR($G112="Not covered",$G112="Child-only"),0,IF($G112="Full",1,IF($G112="Ancillary",MAX(0.1,MIN(0.5,IF($AS112&lt;&gt;"",$AS112,IF($AP$7="",0.5*$C$4,$AP$7))/$C$4)),MIN(0.5,IF($AS112&lt;&gt;"",$AS112,IF($AP$7="",0.5*$C$4,$AP$7))/$C$4))))</f>
        <v>0</v>
      </c>
      <c r="M112" s="98" t="n">
        <f aca="false">IF(OR($H112="Not covered",$H112="Child-only"),0,IF($H112="Full",1,IF($H112="Ancillary",MAX(0.1,MIN(0.5,IF($AM112&lt;&gt;"",$AM112,IF($AQ$7="",0.5*$C$4,$AQ$7))/$C$4)),MIN(0.5,IF($AM112&lt;&gt;"",$AM112,IF($AQ$7="",0.5*$C$4,$AQ$7))/$C$4))))</f>
        <v>0.093167701863354</v>
      </c>
      <c r="N112" s="98" t="n">
        <f aca="false">IF(OR($I112="Not covered",$I112="Child-only"),0,IF($I112="Full",1,IF($I112="Ancillary",MAX(0.1,MIN(0.5,IF($AR$7="",0.5*$C$4,$AR$7)/$C$4)),MIN(0.5,IF($AR$7="",0.5*$C$4,$AR$7)/$C$4))))</f>
        <v>0</v>
      </c>
      <c r="P112" s="1" t="str">
        <f aca="false">IF(O112="","",1-EXP(-O112/100000))</f>
        <v/>
      </c>
      <c r="R112" s="1" t="s">
        <v>822</v>
      </c>
      <c r="S112" s="1" t="str">
        <f aca="false">IF($P112="","",$P112*J112*$C$4*$C$5)</f>
        <v/>
      </c>
      <c r="T112" s="1" t="str">
        <f aca="false">IF($P112="","",$P112*K112*$C$4*$C$5)</f>
        <v/>
      </c>
      <c r="U112" s="1" t="str">
        <f aca="false">IF($P112="","",$P112*L112*$C$4*$C$5)</f>
        <v/>
      </c>
      <c r="V112" s="1" t="str">
        <f aca="false">IF($P112="","",$P112*M112*$C$4*$C$5)</f>
        <v/>
      </c>
      <c r="W112" s="1" t="str">
        <f aca="false">IF($P112="","",$P112*N112*$C$4*$C$5)</f>
        <v/>
      </c>
      <c r="X112" s="1" t="str">
        <f aca="false">IF(S112="","",S112/$E$7)</f>
        <v/>
      </c>
      <c r="Y112" s="1" t="str">
        <f aca="false">IF(T112="","",T112/$F$7)</f>
        <v/>
      </c>
      <c r="Z112" s="1" t="str">
        <f aca="false">IF(U112="","",U112/$G$7)</f>
        <v/>
      </c>
      <c r="AA112" s="1" t="str">
        <f aca="false">IF(V112="","",V112/$H$7)</f>
        <v/>
      </c>
      <c r="AB112" s="1" t="str">
        <f aca="false">IF(W112="","",W112/$I$7)</f>
        <v/>
      </c>
      <c r="AC112" s="1" t="str">
        <f aca="false">IF(COUNTIF(X112:AB112,"&gt;="&amp;$C$6)&gt;0,"PROMOTE","")</f>
        <v/>
      </c>
      <c r="AD112" s="1" t="str">
        <f aca="false">IF(COUNTIF(Sources_06!$B$33:$B$73,A112)&gt;0,"Y","")</f>
        <v/>
      </c>
      <c r="AE112" s="1" t="str">
        <f aca="false">IF(AD112="Y",MIN(0.5,Sources_06!$D$11/$C$4),"")</f>
        <v/>
      </c>
    </row>
    <row r="113" customFormat="false" ht="15" hidden="false" customHeight="true" outlineLevel="0" collapsed="false">
      <c r="A113" s="1" t="n">
        <v>109</v>
      </c>
      <c r="B113" s="1" t="str">
        <f aca="false">Wording_Ranks!B110</f>
        <v>GIST – Low Malignant Potential</v>
      </c>
      <c r="C113" s="1" t="str">
        <f aca="false">Wording_Ranks!C110</f>
        <v>Oncology / Cancer</v>
      </c>
      <c r="D113" s="1" t="str">
        <f aca="false">Wording_Ranks!D110</f>
        <v>Low</v>
      </c>
      <c r="E113" s="1" t="str">
        <f aca="false">Wording_Ranks!F110</f>
        <v>Partial</v>
      </c>
      <c r="F113" s="1" t="str">
        <f aca="false">Wording_Ranks!H110</f>
        <v>Partial</v>
      </c>
      <c r="G113" s="1" t="str">
        <f aca="false">Wording_Ranks!J110</f>
        <v>Partial</v>
      </c>
      <c r="H113" s="1" t="str">
        <f aca="false">Wording_Ranks!M110</f>
        <v>Partial</v>
      </c>
      <c r="I113" s="1" t="str">
        <f aca="false">Wording_Ranks!O110</f>
        <v>Partial</v>
      </c>
      <c r="J113" s="98" t="n">
        <f aca="false">IF(OR($E113="Not covered",$E113="Child-only"),0,IF($E113="Full",1,IF($E113="Ancillary",MAX(0.1,MIN(0.5,IF($AN$7="",0.5*$C$4,$AN$7)/$C$4)),MIN(0.5,IF($AN$7="",0.5*$C$4,$AN$7)/$C$4))))</f>
        <v>0.124223602484472</v>
      </c>
      <c r="K113" s="98" t="n">
        <f aca="false">IF(OR($F113="Not covered",$F113="Child-only"),0,IF($F113="Full",1,IF($AD113="Y",$AE113,IF($F113="Ancillary",MAX(0.1,MIN(0.5,IF($AO$7="",0.5*$C$4,$AO$7)/$C$4)),MIN(0.5,IF($AO$7="",0.5*$C$4,$AO$7)/$C$4)))))</f>
        <v>0.093167701863354</v>
      </c>
      <c r="L113" s="98" t="n">
        <f aca="false">IF(OR($G113="Not covered",$G113="Child-only"),0,IF($G113="Full",1,IF($G113="Ancillary",MAX(0.1,MIN(0.5,IF($AS113&lt;&gt;"",$AS113,IF($AP$7="",0.5*$C$4,$AP$7))/$C$4)),MIN(0.5,IF($AS113&lt;&gt;"",$AS113,IF($AP$7="",0.5*$C$4,$AP$7))/$C$4))))</f>
        <v>0.093167701863354</v>
      </c>
      <c r="M113" s="98" t="n">
        <f aca="false">IF(OR($H113="Not covered",$H113="Child-only"),0,IF($H113="Full",1,IF($H113="Ancillary",MAX(0.1,MIN(0.5,IF($AM113&lt;&gt;"",$AM113,IF($AQ$7="",0.5*$C$4,$AQ$7))/$C$4)),MIN(0.5,IF($AM113&lt;&gt;"",$AM113,IF($AQ$7="",0.5*$C$4,$AQ$7))/$C$4))))</f>
        <v>0.093167701863354</v>
      </c>
      <c r="N113" s="98" t="n">
        <f aca="false">IF(OR($I113="Not covered",$I113="Child-only"),0,IF($I113="Full",1,IF($I113="Ancillary",MAX(0.1,MIN(0.5,IF($AR$7="",0.5*$C$4,$AR$7)/$C$4)),MIN(0.5,IF($AR$7="",0.5*$C$4,$AR$7)/$C$4))))</f>
        <v>0.093167701863354</v>
      </c>
      <c r="P113" s="1" t="str">
        <f aca="false">IF(O113="","",1-EXP(-O113/100000))</f>
        <v/>
      </c>
      <c r="R113" s="1" t="s">
        <v>822</v>
      </c>
      <c r="S113" s="1" t="str">
        <f aca="false">IF($P113="","",$P113*J113*$C$4*$C$5)</f>
        <v/>
      </c>
      <c r="T113" s="1" t="str">
        <f aca="false">IF($P113="","",$P113*K113*$C$4*$C$5)</f>
        <v/>
      </c>
      <c r="U113" s="1" t="str">
        <f aca="false">IF($P113="","",$P113*L113*$C$4*$C$5)</f>
        <v/>
      </c>
      <c r="V113" s="1" t="str">
        <f aca="false">IF($P113="","",$P113*M113*$C$4*$C$5)</f>
        <v/>
      </c>
      <c r="W113" s="1" t="str">
        <f aca="false">IF($P113="","",$P113*N113*$C$4*$C$5)</f>
        <v/>
      </c>
      <c r="X113" s="1" t="str">
        <f aca="false">IF(S113="","",S113/$E$7)</f>
        <v/>
      </c>
      <c r="Y113" s="1" t="str">
        <f aca="false">IF(T113="","",T113/$F$7)</f>
        <v/>
      </c>
      <c r="Z113" s="1" t="str">
        <f aca="false">IF(U113="","",U113/$G$7)</f>
        <v/>
      </c>
      <c r="AA113" s="1" t="str">
        <f aca="false">IF(V113="","",V113/$H$7)</f>
        <v/>
      </c>
      <c r="AB113" s="1" t="str">
        <f aca="false">IF(W113="","",W113/$I$7)</f>
        <v/>
      </c>
      <c r="AC113" s="1" t="str">
        <f aca="false">IF(COUNTIF(X113:AB113,"&gt;="&amp;$C$6)&gt;0,"PROMOTE","")</f>
        <v/>
      </c>
      <c r="AD113" s="1" t="str">
        <f aca="false">IF(COUNTIF(Sources_06!$B$33:$B$73,A113)&gt;0,"Y","")</f>
        <v>Y</v>
      </c>
      <c r="AE113" s="1" t="n">
        <f aca="false">IF(AD113="Y",MIN(0.5,Sources_06!$D$11/$C$4),"")</f>
        <v>0.093167701863354</v>
      </c>
    </row>
    <row r="114" customFormat="false" ht="15" hidden="false" customHeight="true" outlineLevel="0" collapsed="false">
      <c r="A114" s="1" t="n">
        <v>110</v>
      </c>
      <c r="B114" s="1" t="str">
        <f aca="false">Wording_Ranks!B111</f>
        <v>Hydatidiform Mole</v>
      </c>
      <c r="C114" s="1" t="str">
        <f aca="false">Wording_Ranks!C111</f>
        <v>Oncology / Cancer</v>
      </c>
      <c r="D114" s="1" t="str">
        <f aca="false">Wording_Ranks!D111</f>
        <v>Rare</v>
      </c>
      <c r="E114" s="1" t="str">
        <f aca="false">Wording_Ranks!F111</f>
        <v>Not covered</v>
      </c>
      <c r="F114" s="1" t="str">
        <f aca="false">Wording_Ranks!H111</f>
        <v>Ancillary</v>
      </c>
      <c r="G114" s="1" t="str">
        <f aca="false">Wording_Ranks!J111</f>
        <v>Not covered</v>
      </c>
      <c r="H114" s="1" t="str">
        <f aca="false">Wording_Ranks!M111</f>
        <v>Not covered</v>
      </c>
      <c r="I114" s="1" t="str">
        <f aca="false">Wording_Ranks!O111</f>
        <v>Not covered</v>
      </c>
      <c r="J114" s="98" t="n">
        <f aca="false">IF(OR($E114="Not covered",$E114="Child-only"),0,IF($E114="Full",1,IF($E114="Ancillary",MAX(0.1,MIN(0.5,IF($AN$7="",0.5*$C$4,$AN$7)/$C$4)),MIN(0.5,IF($AN$7="",0.5*$C$4,$AN$7)/$C$4))))</f>
        <v>0</v>
      </c>
      <c r="K114" s="98" t="n">
        <f aca="false">IF(OR($F114="Not covered",$F114="Child-only"),0,IF($F114="Full",1,IF($AD114="Y",$AE114,IF($F114="Ancillary",MAX(0.1,MIN(0.5,IF($AO$7="",0.5*$C$4,$AO$7)/$C$4)),MIN(0.5,IF($AO$7="",0.5*$C$4,$AO$7)/$C$4)))))</f>
        <v>0.1</v>
      </c>
      <c r="L114" s="98" t="n">
        <f aca="false">IF(OR($G114="Not covered",$G114="Child-only"),0,IF($G114="Full",1,IF($G114="Ancillary",MAX(0.1,MIN(0.5,IF($AS114&lt;&gt;"",$AS114,IF($AP$7="",0.5*$C$4,$AP$7))/$C$4)),MIN(0.5,IF($AS114&lt;&gt;"",$AS114,IF($AP$7="",0.5*$C$4,$AP$7))/$C$4))))</f>
        <v>0</v>
      </c>
      <c r="M114" s="98" t="n">
        <f aca="false">IF(OR($H114="Not covered",$H114="Child-only"),0,IF($H114="Full",1,IF($H114="Ancillary",MAX(0.1,MIN(0.5,IF($AM114&lt;&gt;"",$AM114,IF($AQ$7="",0.5*$C$4,$AQ$7))/$C$4)),MIN(0.5,IF($AM114&lt;&gt;"",$AM114,IF($AQ$7="",0.5*$C$4,$AQ$7))/$C$4))))</f>
        <v>0</v>
      </c>
      <c r="N114" s="98" t="n">
        <f aca="false">IF(OR($I114="Not covered",$I114="Child-only"),0,IF($I114="Full",1,IF($I114="Ancillary",MAX(0.1,MIN(0.5,IF($AR$7="",0.5*$C$4,$AR$7)/$C$4)),MIN(0.5,IF($AR$7="",0.5*$C$4,$AR$7)/$C$4))))</f>
        <v>0</v>
      </c>
      <c r="P114" s="1" t="str">
        <f aca="false">IF(O114="","",1-EXP(-O114/100000))</f>
        <v/>
      </c>
      <c r="R114" s="1" t="s">
        <v>1136</v>
      </c>
      <c r="S114" s="1" t="str">
        <f aca="false">IF($P114="","",$P114*J114*$C$4*$C$5)</f>
        <v/>
      </c>
      <c r="T114" s="1" t="str">
        <f aca="false">IF($P114="","",$P114*K114*$C$4*$C$5)</f>
        <v/>
      </c>
      <c r="U114" s="1" t="str">
        <f aca="false">IF($P114="","",$P114*L114*$C$4*$C$5)</f>
        <v/>
      </c>
      <c r="V114" s="1" t="str">
        <f aca="false">IF($P114="","",$P114*M114*$C$4*$C$5)</f>
        <v/>
      </c>
      <c r="W114" s="1" t="str">
        <f aca="false">IF($P114="","",$P114*N114*$C$4*$C$5)</f>
        <v/>
      </c>
      <c r="X114" s="1" t="str">
        <f aca="false">IF(S114="","",S114/$E$7)</f>
        <v/>
      </c>
      <c r="Y114" s="1" t="str">
        <f aca="false">IF(T114="","",T114/$F$7)</f>
        <v/>
      </c>
      <c r="Z114" s="1" t="str">
        <f aca="false">IF(U114="","",U114/$G$7)</f>
        <v/>
      </c>
      <c r="AA114" s="1" t="str">
        <f aca="false">IF(V114="","",V114/$H$7)</f>
        <v/>
      </c>
      <c r="AB114" s="1" t="str">
        <f aca="false">IF(W114="","",W114/$I$7)</f>
        <v/>
      </c>
      <c r="AC114" s="1" t="str">
        <f aca="false">IF(COUNTIF(X114:AB114,"&gt;="&amp;$C$6)&gt;0,"PROMOTE","")</f>
        <v/>
      </c>
      <c r="AD114" s="1" t="str">
        <f aca="false">IF(COUNTIF(Sources_06!$B$33:$B$73,A114)&gt;0,"Y","")</f>
        <v/>
      </c>
      <c r="AE114" s="1" t="str">
        <f aca="false">IF(AD114="Y",MIN(0.5,Sources_06!$D$11/$C$4),"")</f>
        <v/>
      </c>
    </row>
    <row r="115" customFormat="false" ht="15" hidden="false" customHeight="true" outlineLevel="0" collapsed="false">
      <c r="A115" s="1" t="n">
        <v>111</v>
      </c>
      <c r="B115" s="1" t="str">
        <f aca="false">Wording_Ranks!B112</f>
        <v>Neuroendocrine Tumour – Low Malignant Potential</v>
      </c>
      <c r="C115" s="1" t="str">
        <f aca="false">Wording_Ranks!C112</f>
        <v>Oncology / Cancer</v>
      </c>
      <c r="D115" s="1" t="str">
        <f aca="false">Wording_Ranks!D112</f>
        <v>Low</v>
      </c>
      <c r="E115" s="1" t="str">
        <f aca="false">Wording_Ranks!F112</f>
        <v>Partial</v>
      </c>
      <c r="F115" s="1" t="str">
        <f aca="false">Wording_Ranks!H112</f>
        <v>Partial</v>
      </c>
      <c r="G115" s="1" t="str">
        <f aca="false">Wording_Ranks!J112</f>
        <v>Partial</v>
      </c>
      <c r="H115" s="1" t="str">
        <f aca="false">Wording_Ranks!M112</f>
        <v>Partial</v>
      </c>
      <c r="I115" s="1" t="str">
        <f aca="false">Wording_Ranks!O112</f>
        <v>Partial</v>
      </c>
      <c r="J115" s="98" t="n">
        <f aca="false">IF(OR($E115="Not covered",$E115="Child-only"),0,IF($E115="Full",1,IF($E115="Ancillary",MAX(0.1,MIN(0.5,IF($AN$7="",0.5*$C$4,$AN$7)/$C$4)),MIN(0.5,IF($AN$7="",0.5*$C$4,$AN$7)/$C$4))))</f>
        <v>0.124223602484472</v>
      </c>
      <c r="K115" s="98" t="n">
        <f aca="false">IF(OR($F115="Not covered",$F115="Child-only"),0,IF($F115="Full",1,IF($AD115="Y",$AE115,IF($F115="Ancillary",MAX(0.1,MIN(0.5,IF($AO$7="",0.5*$C$4,$AO$7)/$C$4)),MIN(0.5,IF($AO$7="",0.5*$C$4,$AO$7)/$C$4)))))</f>
        <v>0.093167701863354</v>
      </c>
      <c r="L115" s="98" t="n">
        <f aca="false">IF(OR($G115="Not covered",$G115="Child-only"),0,IF($G115="Full",1,IF($G115="Ancillary",MAX(0.1,MIN(0.5,IF($AS115&lt;&gt;"",$AS115,IF($AP$7="",0.5*$C$4,$AP$7))/$C$4)),MIN(0.5,IF($AS115&lt;&gt;"",$AS115,IF($AP$7="",0.5*$C$4,$AP$7))/$C$4))))</f>
        <v>0.093167701863354</v>
      </c>
      <c r="M115" s="98" t="n">
        <f aca="false">IF(OR($H115="Not covered",$H115="Child-only"),0,IF($H115="Full",1,IF($H115="Ancillary",MAX(0.1,MIN(0.5,IF($AM115&lt;&gt;"",$AM115,IF($AQ$7="",0.5*$C$4,$AQ$7))/$C$4)),MIN(0.5,IF($AM115&lt;&gt;"",$AM115,IF($AQ$7="",0.5*$C$4,$AQ$7))/$C$4))))</f>
        <v>0.093167701863354</v>
      </c>
      <c r="N115" s="98" t="n">
        <f aca="false">IF(OR($I115="Not covered",$I115="Child-only"),0,IF($I115="Full",1,IF($I115="Ancillary",MAX(0.1,MIN(0.5,IF($AR$7="",0.5*$C$4,$AR$7)/$C$4)),MIN(0.5,IF($AR$7="",0.5*$C$4,$AR$7)/$C$4))))</f>
        <v>0.093167701863354</v>
      </c>
      <c r="P115" s="1" t="str">
        <f aca="false">IF(O115="","",1-EXP(-O115/100000))</f>
        <v/>
      </c>
      <c r="R115" s="1" t="s">
        <v>822</v>
      </c>
      <c r="S115" s="1" t="str">
        <f aca="false">IF($P115="","",$P115*J115*$C$4*$C$5)</f>
        <v/>
      </c>
      <c r="T115" s="1" t="str">
        <f aca="false">IF($P115="","",$P115*K115*$C$4*$C$5)</f>
        <v/>
      </c>
      <c r="U115" s="1" t="str">
        <f aca="false">IF($P115="","",$P115*L115*$C$4*$C$5)</f>
        <v/>
      </c>
      <c r="V115" s="1" t="str">
        <f aca="false">IF($P115="","",$P115*M115*$C$4*$C$5)</f>
        <v/>
      </c>
      <c r="W115" s="1" t="str">
        <f aca="false">IF($P115="","",$P115*N115*$C$4*$C$5)</f>
        <v/>
      </c>
      <c r="X115" s="1" t="str">
        <f aca="false">IF(S115="","",S115/$E$7)</f>
        <v/>
      </c>
      <c r="Y115" s="1" t="str">
        <f aca="false">IF(T115="","",T115/$F$7)</f>
        <v/>
      </c>
      <c r="Z115" s="1" t="str">
        <f aca="false">IF(U115="","",U115/$G$7)</f>
        <v/>
      </c>
      <c r="AA115" s="1" t="str">
        <f aca="false">IF(V115="","",V115/$H$7)</f>
        <v/>
      </c>
      <c r="AB115" s="1" t="str">
        <f aca="false">IF(W115="","",W115/$I$7)</f>
        <v/>
      </c>
      <c r="AC115" s="1" t="str">
        <f aca="false">IF(COUNTIF(X115:AB115,"&gt;="&amp;$C$6)&gt;0,"PROMOTE","")</f>
        <v/>
      </c>
      <c r="AD115" s="1" t="str">
        <f aca="false">IF(COUNTIF(Sources_06!$B$33:$B$73,A115)&gt;0,"Y","")</f>
        <v>Y</v>
      </c>
      <c r="AE115" s="1" t="n">
        <f aca="false">IF(AD115="Y",MIN(0.5,Sources_06!$D$11/$C$4),"")</f>
        <v>0.093167701863354</v>
      </c>
    </row>
    <row r="116" customFormat="false" ht="15" hidden="false" customHeight="true" outlineLevel="0" collapsed="false">
      <c r="A116" s="1" t="n">
        <v>112</v>
      </c>
      <c r="B116" s="1" t="str">
        <f aca="false">Wording_Ranks!B113</f>
        <v>Ovarian Tumour – Borderline / Low Malignant Potential</v>
      </c>
      <c r="C116" s="1" t="str">
        <f aca="false">Wording_Ranks!C113</f>
        <v>Oncology / Cancer</v>
      </c>
      <c r="D116" s="1" t="str">
        <f aca="false">Wording_Ranks!D113</f>
        <v>Low</v>
      </c>
      <c r="E116" s="1" t="str">
        <f aca="false">Wording_Ranks!F113</f>
        <v>Partial</v>
      </c>
      <c r="F116" s="1" t="str">
        <f aca="false">Wording_Ranks!H113</f>
        <v>Partial</v>
      </c>
      <c r="G116" s="1" t="str">
        <f aca="false">Wording_Ranks!J113</f>
        <v>Partial</v>
      </c>
      <c r="H116" s="1" t="str">
        <f aca="false">Wording_Ranks!M113</f>
        <v>Partial</v>
      </c>
      <c r="I116" s="1" t="str">
        <f aca="false">Wording_Ranks!O113</f>
        <v>Partial</v>
      </c>
      <c r="J116" s="98" t="n">
        <f aca="false">IF(OR($E116="Not covered",$E116="Child-only"),0,IF($E116="Full",1,IF($E116="Ancillary",MAX(0.1,MIN(0.5,IF($AN$7="",0.5*$C$4,$AN$7)/$C$4)),MIN(0.5,IF($AN$7="",0.5*$C$4,$AN$7)/$C$4))))</f>
        <v>0.124223602484472</v>
      </c>
      <c r="K116" s="98" t="n">
        <f aca="false">IF(OR($F116="Not covered",$F116="Child-only"),0,IF($F116="Full",1,IF($AD116="Y",$AE116,IF($F116="Ancillary",MAX(0.1,MIN(0.5,IF($AO$7="",0.5*$C$4,$AO$7)/$C$4)),MIN(0.5,IF($AO$7="",0.5*$C$4,$AO$7)/$C$4)))))</f>
        <v>0.093167701863354</v>
      </c>
      <c r="L116" s="98" t="n">
        <f aca="false">IF(OR($G116="Not covered",$G116="Child-only"),0,IF($G116="Full",1,IF($G116="Ancillary",MAX(0.1,MIN(0.5,IF($AS116&lt;&gt;"",$AS116,IF($AP$7="",0.5*$C$4,$AP$7))/$C$4)),MIN(0.5,IF($AS116&lt;&gt;"",$AS116,IF($AP$7="",0.5*$C$4,$AP$7))/$C$4))))</f>
        <v>0.093167701863354</v>
      </c>
      <c r="M116" s="98" t="n">
        <f aca="false">IF(OR($H116="Not covered",$H116="Child-only"),0,IF($H116="Full",1,IF($H116="Ancillary",MAX(0.1,MIN(0.5,IF($AM116&lt;&gt;"",$AM116,IF($AQ$7="",0.5*$C$4,$AQ$7))/$C$4)),MIN(0.5,IF($AM116&lt;&gt;"",$AM116,IF($AQ$7="",0.5*$C$4,$AQ$7))/$C$4))))</f>
        <v>0.093167701863354</v>
      </c>
      <c r="N116" s="98" t="n">
        <f aca="false">IF(OR($I116="Not covered",$I116="Child-only"),0,IF($I116="Full",1,IF($I116="Ancillary",MAX(0.1,MIN(0.5,IF($AR$7="",0.5*$C$4,$AR$7)/$C$4)),MIN(0.5,IF($AR$7="",0.5*$C$4,$AR$7)/$C$4))))</f>
        <v>0.093167701863354</v>
      </c>
      <c r="P116" s="1" t="str">
        <f aca="false">IF(O116="","",1-EXP(-O116/100000))</f>
        <v/>
      </c>
      <c r="R116" s="1" t="s">
        <v>822</v>
      </c>
      <c r="S116" s="1" t="str">
        <f aca="false">IF($P116="","",$P116*J116*$C$4*$C$5)</f>
        <v/>
      </c>
      <c r="T116" s="1" t="str">
        <f aca="false">IF($P116="","",$P116*K116*$C$4*$C$5)</f>
        <v/>
      </c>
      <c r="U116" s="1" t="str">
        <f aca="false">IF($P116="","",$P116*L116*$C$4*$C$5)</f>
        <v/>
      </c>
      <c r="V116" s="1" t="str">
        <f aca="false">IF($P116="","",$P116*M116*$C$4*$C$5)</f>
        <v/>
      </c>
      <c r="W116" s="1" t="str">
        <f aca="false">IF($P116="","",$P116*N116*$C$4*$C$5)</f>
        <v/>
      </c>
      <c r="X116" s="1" t="str">
        <f aca="false">IF(S116="","",S116/$E$7)</f>
        <v/>
      </c>
      <c r="Y116" s="1" t="str">
        <f aca="false">IF(T116="","",T116/$F$7)</f>
        <v/>
      </c>
      <c r="Z116" s="1" t="str">
        <f aca="false">IF(U116="","",U116/$G$7)</f>
        <v/>
      </c>
      <c r="AA116" s="1" t="str">
        <f aca="false">IF(V116="","",V116/$H$7)</f>
        <v/>
      </c>
      <c r="AB116" s="1" t="str">
        <f aca="false">IF(W116="","",W116/$I$7)</f>
        <v/>
      </c>
      <c r="AC116" s="1" t="str">
        <f aca="false">IF(COUNTIF(X116:AB116,"&gt;="&amp;$C$6)&gt;0,"PROMOTE","")</f>
        <v/>
      </c>
      <c r="AD116" s="1" t="str">
        <f aca="false">IF(COUNTIF(Sources_06!$B$33:$B$73,A116)&gt;0,"Y","")</f>
        <v>Y</v>
      </c>
      <c r="AE116" s="1" t="n">
        <f aca="false">IF(AD116="Y",MIN(0.5,Sources_06!$D$11/$C$4),"")</f>
        <v>0.093167701863354</v>
      </c>
    </row>
    <row r="117" customFormat="false" ht="15" hidden="false" customHeight="true" outlineLevel="0" collapsed="false">
      <c r="A117" s="1" t="n">
        <v>113</v>
      </c>
      <c r="B117" s="1" t="str">
        <f aca="false">Wording_Ranks!B114</f>
        <v>Primary Cutaneous Lymphoma</v>
      </c>
      <c r="C117" s="1" t="str">
        <f aca="false">Wording_Ranks!C114</f>
        <v>Oncology / Cancer</v>
      </c>
      <c r="D117" s="1" t="str">
        <f aca="false">Wording_Ranks!D114</f>
        <v>Rare</v>
      </c>
      <c r="E117" s="1" t="str">
        <f aca="false">Wording_Ranks!F114</f>
        <v>Not covered</v>
      </c>
      <c r="F117" s="1" t="str">
        <f aca="false">Wording_Ranks!H114</f>
        <v>Not covered</v>
      </c>
      <c r="G117" s="1" t="str">
        <f aca="false">Wording_Ranks!J114</f>
        <v>Not covered</v>
      </c>
      <c r="H117" s="1" t="str">
        <f aca="false">Wording_Ranks!M114</f>
        <v>Partial</v>
      </c>
      <c r="I117" s="1" t="str">
        <f aca="false">Wording_Ranks!O114</f>
        <v>Not covered</v>
      </c>
      <c r="J117" s="98" t="n">
        <f aca="false">IF(OR($E117="Not covered",$E117="Child-only"),0,IF($E117="Full",1,IF($E117="Ancillary",MAX(0.1,MIN(0.5,IF($AN$7="",0.5*$C$4,$AN$7)/$C$4)),MIN(0.5,IF($AN$7="",0.5*$C$4,$AN$7)/$C$4))))</f>
        <v>0</v>
      </c>
      <c r="K117" s="98" t="n">
        <f aca="false">IF(OR($F117="Not covered",$F117="Child-only"),0,IF($F117="Full",1,IF($AD117="Y",$AE117,IF($F117="Ancillary",MAX(0.1,MIN(0.5,IF($AO$7="",0.5*$C$4,$AO$7)/$C$4)),MIN(0.5,IF($AO$7="",0.5*$C$4,$AO$7)/$C$4)))))</f>
        <v>0</v>
      </c>
      <c r="L117" s="98" t="n">
        <f aca="false">IF(OR($G117="Not covered",$G117="Child-only"),0,IF($G117="Full",1,IF($G117="Ancillary",MAX(0.1,MIN(0.5,IF($AS117&lt;&gt;"",$AS117,IF($AP$7="",0.5*$C$4,$AP$7))/$C$4)),MIN(0.5,IF($AS117&lt;&gt;"",$AS117,IF($AP$7="",0.5*$C$4,$AP$7))/$C$4))))</f>
        <v>0</v>
      </c>
      <c r="M117" s="98" t="n">
        <f aca="false">IF(OR($H117="Not covered",$H117="Child-only"),0,IF($H117="Full",1,IF($H117="Ancillary",MAX(0.1,MIN(0.5,IF($AM117&lt;&gt;"",$AM117,IF($AQ$7="",0.5*$C$4,$AQ$7))/$C$4)),MIN(0.5,IF($AM117&lt;&gt;"",$AM117,IF($AQ$7="",0.5*$C$4,$AQ$7))/$C$4))))</f>
        <v>0.093167701863354</v>
      </c>
      <c r="N117" s="98" t="n">
        <f aca="false">IF(OR($I117="Not covered",$I117="Child-only"),0,IF($I117="Full",1,IF($I117="Ancillary",MAX(0.1,MIN(0.5,IF($AR$7="",0.5*$C$4,$AR$7)/$C$4)),MIN(0.5,IF($AR$7="",0.5*$C$4,$AR$7)/$C$4))))</f>
        <v>0</v>
      </c>
      <c r="P117" s="1" t="str">
        <f aca="false">IF(O117="","",1-EXP(-O117/100000))</f>
        <v/>
      </c>
      <c r="R117" s="1" t="s">
        <v>822</v>
      </c>
      <c r="S117" s="1" t="str">
        <f aca="false">IF($P117="","",$P117*J117*$C$4*$C$5)</f>
        <v/>
      </c>
      <c r="T117" s="1" t="str">
        <f aca="false">IF($P117="","",$P117*K117*$C$4*$C$5)</f>
        <v/>
      </c>
      <c r="U117" s="1" t="str">
        <f aca="false">IF($P117="","",$P117*L117*$C$4*$C$5)</f>
        <v/>
      </c>
      <c r="V117" s="1" t="str">
        <f aca="false">IF($P117="","",$P117*M117*$C$4*$C$5)</f>
        <v/>
      </c>
      <c r="W117" s="1" t="str">
        <f aca="false">IF($P117="","",$P117*N117*$C$4*$C$5)</f>
        <v/>
      </c>
      <c r="X117" s="1" t="str">
        <f aca="false">IF(S117="","",S117/$E$7)</f>
        <v/>
      </c>
      <c r="Y117" s="1" t="str">
        <f aca="false">IF(T117="","",T117/$F$7)</f>
        <v/>
      </c>
      <c r="Z117" s="1" t="str">
        <f aca="false">IF(U117="","",U117/$G$7)</f>
        <v/>
      </c>
      <c r="AA117" s="1" t="str">
        <f aca="false">IF(V117="","",V117/$H$7)</f>
        <v/>
      </c>
      <c r="AB117" s="1" t="str">
        <f aca="false">IF(W117="","",W117/$I$7)</f>
        <v/>
      </c>
      <c r="AC117" s="1" t="str">
        <f aca="false">IF(COUNTIF(X117:AB117,"&gt;="&amp;$C$6)&gt;0,"PROMOTE","")</f>
        <v/>
      </c>
      <c r="AD117" s="1" t="str">
        <f aca="false">IF(COUNTIF(Sources_06!$B$33:$B$73,A117)&gt;0,"Y","")</f>
        <v/>
      </c>
      <c r="AE117" s="1" t="str">
        <f aca="false">IF(AD117="Y",MIN(0.5,Sources_06!$D$11/$C$4),"")</f>
        <v/>
      </c>
    </row>
    <row r="118" customFormat="false" ht="15" hidden="false" customHeight="true" outlineLevel="0" collapsed="false">
      <c r="A118" s="1" t="n">
        <v>114</v>
      </c>
      <c r="B118" s="1" t="str">
        <f aca="false">Wording_Ranks!B115</f>
        <v>30-day Related Claim Restriction (Operational)</v>
      </c>
      <c r="C118" s="1" t="str">
        <f aca="false">Wording_Ranks!C115</f>
        <v>Operational / Wording</v>
      </c>
      <c r="D118" s="1" t="str">
        <f aca="false">Wording_Ranks!D115</f>
        <v>Not primarily illness claim</v>
      </c>
      <c r="E118" s="1" t="str">
        <f aca="false">Wording_Ranks!F115</f>
        <v>Not covered</v>
      </c>
      <c r="F118" s="1" t="str">
        <f aca="false">Wording_Ranks!H115</f>
        <v>Ancillary</v>
      </c>
      <c r="G118" s="1" t="str">
        <f aca="false">Wording_Ranks!J115</f>
        <v>Not covered</v>
      </c>
      <c r="H118" s="1" t="str">
        <f aca="false">Wording_Ranks!M115</f>
        <v>Not covered</v>
      </c>
      <c r="I118" s="1" t="str">
        <f aca="false">Wording_Ranks!O115</f>
        <v>Not covered</v>
      </c>
      <c r="J118" s="98" t="n">
        <f aca="false">IF(OR($E118="Not covered",$E118="Child-only"),0,IF($E118="Full",1,IF($E118="Ancillary",MAX(0.1,MIN(0.5,IF($AN$7="",0.5*$C$4,$AN$7)/$C$4)),MIN(0.5,IF($AN$7="",0.5*$C$4,$AN$7)/$C$4))))</f>
        <v>0</v>
      </c>
      <c r="K118" s="98" t="n">
        <f aca="false">IF(OR($F118="Not covered",$F118="Child-only"),0,IF($F118="Full",1,IF($AD118="Y",$AE118,IF($F118="Ancillary",MAX(0.1,MIN(0.5,IF($AO$7="",0.5*$C$4,$AO$7)/$C$4)),MIN(0.5,IF($AO$7="",0.5*$C$4,$AO$7)/$C$4)))))</f>
        <v>0.1</v>
      </c>
      <c r="L118" s="98" t="n">
        <f aca="false">IF(OR($G118="Not covered",$G118="Child-only"),0,IF($G118="Full",1,IF($G118="Ancillary",MAX(0.1,MIN(0.5,IF($AS118&lt;&gt;"",$AS118,IF($AP$7="",0.5*$C$4,$AP$7))/$C$4)),MIN(0.5,IF($AS118&lt;&gt;"",$AS118,IF($AP$7="",0.5*$C$4,$AP$7))/$C$4))))</f>
        <v>0</v>
      </c>
      <c r="M118" s="98" t="n">
        <f aca="false">IF(OR($H118="Not covered",$H118="Child-only"),0,IF($H118="Full",1,IF($H118="Ancillary",MAX(0.1,MIN(0.5,IF($AM118&lt;&gt;"",$AM118,IF($AQ$7="",0.5*$C$4,$AQ$7))/$C$4)),MIN(0.5,IF($AM118&lt;&gt;"",$AM118,IF($AQ$7="",0.5*$C$4,$AQ$7))/$C$4))))</f>
        <v>0</v>
      </c>
      <c r="N118" s="98" t="n">
        <f aca="false">IF(OR($I118="Not covered",$I118="Child-only"),0,IF($I118="Full",1,IF($I118="Ancillary",MAX(0.1,MIN(0.5,IF($AR$7="",0.5*$C$4,$AR$7)/$C$4)),MIN(0.5,IF($AR$7="",0.5*$C$4,$AR$7)/$C$4))))</f>
        <v>0</v>
      </c>
      <c r="P118" s="1" t="str">
        <f aca="false">IF(O118="","",1-EXP(-O118/100000))</f>
        <v/>
      </c>
      <c r="R118" s="1" t="s">
        <v>1136</v>
      </c>
      <c r="S118" s="1" t="str">
        <f aca="false">IF($P118="","",$P118*J118*$C$4*$C$5)</f>
        <v/>
      </c>
      <c r="T118" s="1" t="str">
        <f aca="false">IF($P118="","",$P118*K118*$C$4*$C$5)</f>
        <v/>
      </c>
      <c r="U118" s="1" t="str">
        <f aca="false">IF($P118="","",$P118*L118*$C$4*$C$5)</f>
        <v/>
      </c>
      <c r="V118" s="1" t="str">
        <f aca="false">IF($P118="","",$P118*M118*$C$4*$C$5)</f>
        <v/>
      </c>
      <c r="W118" s="1" t="str">
        <f aca="false">IF($P118="","",$P118*N118*$C$4*$C$5)</f>
        <v/>
      </c>
      <c r="X118" s="1" t="str">
        <f aca="false">IF(S118="","",S118/$E$7)</f>
        <v/>
      </c>
      <c r="Y118" s="1" t="str">
        <f aca="false">IF(T118="","",T118/$F$7)</f>
        <v/>
      </c>
      <c r="Z118" s="1" t="str">
        <f aca="false">IF(U118="","",U118/$G$7)</f>
        <v/>
      </c>
      <c r="AA118" s="1" t="str">
        <f aca="false">IF(V118="","",V118/$H$7)</f>
        <v/>
      </c>
      <c r="AB118" s="1" t="str">
        <f aca="false">IF(W118="","",W118/$I$7)</f>
        <v/>
      </c>
      <c r="AC118" s="1" t="str">
        <f aca="false">IF(COUNTIF(X118:AB118,"&gt;="&amp;$C$6)&gt;0,"PROMOTE","")</f>
        <v/>
      </c>
      <c r="AD118" s="1" t="str">
        <f aca="false">IF(COUNTIF(Sources_06!$B$33:$B$73,A118)&gt;0,"Y","")</f>
        <v/>
      </c>
      <c r="AE118" s="1" t="str">
        <f aca="false">IF(AD118="Y",MIN(0.5,Sources_06!$D$11/$C$4),"")</f>
        <v/>
      </c>
    </row>
    <row r="119" customFormat="false" ht="15" hidden="false" customHeight="true" outlineLevel="0" collapsed="false">
      <c r="A119" s="1" t="n">
        <v>115</v>
      </c>
      <c r="B119" s="1" t="str">
        <f aca="false">Wording_Ranks!B116</f>
        <v>Eclampsia (Pregnancy)</v>
      </c>
      <c r="C119" s="1" t="str">
        <f aca="false">Wording_Ranks!C116</f>
        <v>Pregnancy / Female-only</v>
      </c>
      <c r="D119" s="1" t="str">
        <f aca="false">Wording_Ranks!D116</f>
        <v>Rare</v>
      </c>
      <c r="E119" s="1" t="str">
        <f aca="false">Wording_Ranks!F116</f>
        <v>Not covered</v>
      </c>
      <c r="F119" s="1" t="str">
        <f aca="false">Wording_Ranks!H116</f>
        <v>Ancillary</v>
      </c>
      <c r="G119" s="1" t="str">
        <f aca="false">Wording_Ranks!J116</f>
        <v>Not covered</v>
      </c>
      <c r="H119" s="1" t="str">
        <f aca="false">Wording_Ranks!M116</f>
        <v>Not covered</v>
      </c>
      <c r="I119" s="1" t="str">
        <f aca="false">Wording_Ranks!O116</f>
        <v>Not covered</v>
      </c>
      <c r="J119" s="98" t="n">
        <f aca="false">IF(OR($E119="Not covered",$E119="Child-only"),0,IF($E119="Full",1,IF($E119="Ancillary",MAX(0.1,MIN(0.5,IF($AN$7="",0.5*$C$4,$AN$7)/$C$4)),MIN(0.5,IF($AN$7="",0.5*$C$4,$AN$7)/$C$4))))</f>
        <v>0</v>
      </c>
      <c r="K119" s="98" t="n">
        <f aca="false">IF(OR($F119="Not covered",$F119="Child-only"),0,IF($F119="Full",1,IF($AD119="Y",$AE119,IF($F119="Ancillary",MAX(0.1,MIN(0.5,IF($AO$7="",0.5*$C$4,$AO$7)/$C$4)),MIN(0.5,IF($AO$7="",0.5*$C$4,$AO$7)/$C$4)))))</f>
        <v>0.1</v>
      </c>
      <c r="L119" s="98" t="n">
        <f aca="false">IF(OR($G119="Not covered",$G119="Child-only"),0,IF($G119="Full",1,IF($G119="Ancillary",MAX(0.1,MIN(0.5,IF($AS119&lt;&gt;"",$AS119,IF($AP$7="",0.5*$C$4,$AP$7))/$C$4)),MIN(0.5,IF($AS119&lt;&gt;"",$AS119,IF($AP$7="",0.5*$C$4,$AP$7))/$C$4))))</f>
        <v>0</v>
      </c>
      <c r="M119" s="98" t="n">
        <f aca="false">IF(OR($H119="Not covered",$H119="Child-only"),0,IF($H119="Full",1,IF($H119="Ancillary",MAX(0.1,MIN(0.5,IF($AM119&lt;&gt;"",$AM119,IF($AQ$7="",0.5*$C$4,$AQ$7))/$C$4)),MIN(0.5,IF($AM119&lt;&gt;"",$AM119,IF($AQ$7="",0.5*$C$4,$AQ$7))/$C$4))))</f>
        <v>0</v>
      </c>
      <c r="N119" s="98" t="n">
        <f aca="false">IF(OR($I119="Not covered",$I119="Child-only"),0,IF($I119="Full",1,IF($I119="Ancillary",MAX(0.1,MIN(0.5,IF($AR$7="",0.5*$C$4,$AR$7)/$C$4)),MIN(0.5,IF($AR$7="",0.5*$C$4,$AR$7)/$C$4))))</f>
        <v>0</v>
      </c>
      <c r="P119" s="1" t="str">
        <f aca="false">IF(O119="","",1-EXP(-O119/100000))</f>
        <v/>
      </c>
      <c r="R119" s="1" t="s">
        <v>1136</v>
      </c>
      <c r="S119" s="1" t="str">
        <f aca="false">IF($P119="","",$P119*J119*$C$4*$C$5)</f>
        <v/>
      </c>
      <c r="T119" s="1" t="str">
        <f aca="false">IF($P119="","",$P119*K119*$C$4*$C$5)</f>
        <v/>
      </c>
      <c r="U119" s="1" t="str">
        <f aca="false">IF($P119="","",$P119*L119*$C$4*$C$5)</f>
        <v/>
      </c>
      <c r="V119" s="1" t="str">
        <f aca="false">IF($P119="","",$P119*M119*$C$4*$C$5)</f>
        <v/>
      </c>
      <c r="W119" s="1" t="str">
        <f aca="false">IF($P119="","",$P119*N119*$C$4*$C$5)</f>
        <v/>
      </c>
      <c r="X119" s="1" t="str">
        <f aca="false">IF(S119="","",S119/$E$7)</f>
        <v/>
      </c>
      <c r="Y119" s="1" t="str">
        <f aca="false">IF(T119="","",T119/$F$7)</f>
        <v/>
      </c>
      <c r="Z119" s="1" t="str">
        <f aca="false">IF(U119="","",U119/$G$7)</f>
        <v/>
      </c>
      <c r="AA119" s="1" t="str">
        <f aca="false">IF(V119="","",V119/$H$7)</f>
        <v/>
      </c>
      <c r="AB119" s="1" t="str">
        <f aca="false">IF(W119="","",W119/$I$7)</f>
        <v/>
      </c>
      <c r="AC119" s="1" t="str">
        <f aca="false">IF(COUNTIF(X119:AB119,"&gt;="&amp;$C$6)&gt;0,"PROMOTE","")</f>
        <v/>
      </c>
      <c r="AD119" s="1" t="str">
        <f aca="false">IF(COUNTIF(Sources_06!$B$33:$B$73,A119)&gt;0,"Y","")</f>
        <v/>
      </c>
      <c r="AE119" s="1" t="str">
        <f aca="false">IF(AD119="Y",MIN(0.5,Sources_06!$D$11/$C$4),"")</f>
        <v/>
      </c>
    </row>
    <row r="120" customFormat="false" ht="15" hidden="false" customHeight="true" outlineLevel="0" collapsed="false">
      <c r="A120" s="1" t="n">
        <v>116</v>
      </c>
      <c r="B120" s="1" t="str">
        <f aca="false">Wording_Ranks!B117</f>
        <v>Ectopic Pregnancy</v>
      </c>
      <c r="C120" s="1" t="str">
        <f aca="false">Wording_Ranks!C117</f>
        <v>Pregnancy / Female-only</v>
      </c>
      <c r="D120" s="1" t="str">
        <f aca="false">Wording_Ranks!D117</f>
        <v>Low</v>
      </c>
      <c r="E120" s="1" t="str">
        <f aca="false">Wording_Ranks!F117</f>
        <v>Not covered</v>
      </c>
      <c r="F120" s="1" t="str">
        <f aca="false">Wording_Ranks!H117</f>
        <v>Ancillary</v>
      </c>
      <c r="G120" s="1" t="str">
        <f aca="false">Wording_Ranks!J117</f>
        <v>Not covered</v>
      </c>
      <c r="H120" s="1" t="str">
        <f aca="false">Wording_Ranks!M117</f>
        <v>Not covered</v>
      </c>
      <c r="I120" s="1" t="str">
        <f aca="false">Wording_Ranks!O117</f>
        <v>Not covered</v>
      </c>
      <c r="J120" s="98" t="n">
        <f aca="false">IF(OR($E120="Not covered",$E120="Child-only"),0,IF($E120="Full",1,IF($E120="Ancillary",MAX(0.1,MIN(0.5,IF($AN$7="",0.5*$C$4,$AN$7)/$C$4)),MIN(0.5,IF($AN$7="",0.5*$C$4,$AN$7)/$C$4))))</f>
        <v>0</v>
      </c>
      <c r="K120" s="98" t="n">
        <f aca="false">IF(OR($F120="Not covered",$F120="Child-only"),0,IF($F120="Full",1,IF($AD120="Y",$AE120,IF($F120="Ancillary",MAX(0.1,MIN(0.5,IF($AO$7="",0.5*$C$4,$AO$7)/$C$4)),MIN(0.5,IF($AO$7="",0.5*$C$4,$AO$7)/$C$4)))))</f>
        <v>0.1</v>
      </c>
      <c r="L120" s="98" t="n">
        <f aca="false">IF(OR($G120="Not covered",$G120="Child-only"),0,IF($G120="Full",1,IF($G120="Ancillary",MAX(0.1,MIN(0.5,IF($AS120&lt;&gt;"",$AS120,IF($AP$7="",0.5*$C$4,$AP$7))/$C$4)),MIN(0.5,IF($AS120&lt;&gt;"",$AS120,IF($AP$7="",0.5*$C$4,$AP$7))/$C$4))))</f>
        <v>0</v>
      </c>
      <c r="M120" s="98" t="n">
        <f aca="false">IF(OR($H120="Not covered",$H120="Child-only"),0,IF($H120="Full",1,IF($H120="Ancillary",MAX(0.1,MIN(0.5,IF($AM120&lt;&gt;"",$AM120,IF($AQ$7="",0.5*$C$4,$AQ$7))/$C$4)),MIN(0.5,IF($AM120&lt;&gt;"",$AM120,IF($AQ$7="",0.5*$C$4,$AQ$7))/$C$4))))</f>
        <v>0</v>
      </c>
      <c r="N120" s="98" t="n">
        <f aca="false">IF(OR($I120="Not covered",$I120="Child-only"),0,IF($I120="Full",1,IF($I120="Ancillary",MAX(0.1,MIN(0.5,IF($AR$7="",0.5*$C$4,$AR$7)/$C$4)),MIN(0.5,IF($AR$7="",0.5*$C$4,$AR$7)/$C$4))))</f>
        <v>0</v>
      </c>
      <c r="P120" s="1" t="str">
        <f aca="false">IF(O120="","",1-EXP(-O120/100000))</f>
        <v/>
      </c>
      <c r="R120" s="1" t="s">
        <v>1136</v>
      </c>
      <c r="S120" s="1" t="str">
        <f aca="false">IF($P120="","",$P120*J120*$C$4*$C$5)</f>
        <v/>
      </c>
      <c r="T120" s="1" t="str">
        <f aca="false">IF($P120="","",$P120*K120*$C$4*$C$5)</f>
        <v/>
      </c>
      <c r="U120" s="1" t="str">
        <f aca="false">IF($P120="","",$P120*L120*$C$4*$C$5)</f>
        <v/>
      </c>
      <c r="V120" s="1" t="str">
        <f aca="false">IF($P120="","",$P120*M120*$C$4*$C$5)</f>
        <v/>
      </c>
      <c r="W120" s="1" t="str">
        <f aca="false">IF($P120="","",$P120*N120*$C$4*$C$5)</f>
        <v/>
      </c>
      <c r="X120" s="1" t="str">
        <f aca="false">IF(S120="","",S120/$E$7)</f>
        <v/>
      </c>
      <c r="Y120" s="1" t="str">
        <f aca="false">IF(T120="","",T120/$F$7)</f>
        <v/>
      </c>
      <c r="Z120" s="1" t="str">
        <f aca="false">IF(U120="","",U120/$G$7)</f>
        <v/>
      </c>
      <c r="AA120" s="1" t="str">
        <f aca="false">IF(V120="","",V120/$H$7)</f>
        <v/>
      </c>
      <c r="AB120" s="1" t="str">
        <f aca="false">IF(W120="","",W120/$I$7)</f>
        <v/>
      </c>
      <c r="AC120" s="1" t="str">
        <f aca="false">IF(COUNTIF(X120:AB120,"&gt;="&amp;$C$6)&gt;0,"PROMOTE","")</f>
        <v/>
      </c>
      <c r="AD120" s="1" t="str">
        <f aca="false">IF(COUNTIF(Sources_06!$B$33:$B$73,A120)&gt;0,"Y","")</f>
        <v/>
      </c>
      <c r="AE120" s="1" t="str">
        <f aca="false">IF(AD120="Y",MIN(0.5,Sources_06!$D$11/$C$4),"")</f>
        <v/>
      </c>
    </row>
    <row r="121" customFormat="false" ht="15" hidden="false" customHeight="true" outlineLevel="0" collapsed="false">
      <c r="A121" s="1" t="n">
        <v>117</v>
      </c>
      <c r="B121" s="1" t="str">
        <f aca="false">Wording_Ranks!B118</f>
        <v>Foetal Death in Utero (&gt;=20 weeks)</v>
      </c>
      <c r="C121" s="1" t="str">
        <f aca="false">Wording_Ranks!C118</f>
        <v>Pregnancy / Female-only</v>
      </c>
      <c r="D121" s="1" t="str">
        <f aca="false">Wording_Ranks!D118</f>
        <v>Low</v>
      </c>
      <c r="E121" s="1" t="str">
        <f aca="false">Wording_Ranks!F118</f>
        <v>Not covered</v>
      </c>
      <c r="F121" s="1" t="str">
        <f aca="false">Wording_Ranks!H118</f>
        <v>Ancillary</v>
      </c>
      <c r="G121" s="1" t="str">
        <f aca="false">Wording_Ranks!J118</f>
        <v>Not covered</v>
      </c>
      <c r="H121" s="1" t="str">
        <f aca="false">Wording_Ranks!M118</f>
        <v>Not covered</v>
      </c>
      <c r="I121" s="1" t="str">
        <f aca="false">Wording_Ranks!O118</f>
        <v>Not covered</v>
      </c>
      <c r="J121" s="98" t="n">
        <f aca="false">IF(OR($E121="Not covered",$E121="Child-only"),0,IF($E121="Full",1,IF($E121="Ancillary",MAX(0.1,MIN(0.5,IF($AN$7="",0.5*$C$4,$AN$7)/$C$4)),MIN(0.5,IF($AN$7="",0.5*$C$4,$AN$7)/$C$4))))</f>
        <v>0</v>
      </c>
      <c r="K121" s="98" t="n">
        <f aca="false">IF(OR($F121="Not covered",$F121="Child-only"),0,IF($F121="Full",1,IF($AD121="Y",$AE121,IF($F121="Ancillary",MAX(0.1,MIN(0.5,IF($AO$7="",0.5*$C$4,$AO$7)/$C$4)),MIN(0.5,IF($AO$7="",0.5*$C$4,$AO$7)/$C$4)))))</f>
        <v>0.1</v>
      </c>
      <c r="L121" s="98" t="n">
        <f aca="false">IF(OR($G121="Not covered",$G121="Child-only"),0,IF($G121="Full",1,IF($G121="Ancillary",MAX(0.1,MIN(0.5,IF($AS121&lt;&gt;"",$AS121,IF($AP$7="",0.5*$C$4,$AP$7))/$C$4)),MIN(0.5,IF($AS121&lt;&gt;"",$AS121,IF($AP$7="",0.5*$C$4,$AP$7))/$C$4))))</f>
        <v>0</v>
      </c>
      <c r="M121" s="98" t="n">
        <f aca="false">IF(OR($H121="Not covered",$H121="Child-only"),0,IF($H121="Full",1,IF($H121="Ancillary",MAX(0.1,MIN(0.5,IF($AM121&lt;&gt;"",$AM121,IF($AQ$7="",0.5*$C$4,$AQ$7))/$C$4)),MIN(0.5,IF($AM121&lt;&gt;"",$AM121,IF($AQ$7="",0.5*$C$4,$AQ$7))/$C$4))))</f>
        <v>0</v>
      </c>
      <c r="N121" s="98" t="n">
        <f aca="false">IF(OR($I121="Not covered",$I121="Child-only"),0,IF($I121="Full",1,IF($I121="Ancillary",MAX(0.1,MIN(0.5,IF($AR$7="",0.5*$C$4,$AR$7)/$C$4)),MIN(0.5,IF($AR$7="",0.5*$C$4,$AR$7)/$C$4))))</f>
        <v>0</v>
      </c>
      <c r="P121" s="1" t="str">
        <f aca="false">IF(O121="","",1-EXP(-O121/100000))</f>
        <v/>
      </c>
      <c r="R121" s="1" t="s">
        <v>1136</v>
      </c>
      <c r="S121" s="1" t="str">
        <f aca="false">IF($P121="","",$P121*J121*$C$4*$C$5)</f>
        <v/>
      </c>
      <c r="T121" s="1" t="str">
        <f aca="false">IF($P121="","",$P121*K121*$C$4*$C$5)</f>
        <v/>
      </c>
      <c r="U121" s="1" t="str">
        <f aca="false">IF($P121="","",$P121*L121*$C$4*$C$5)</f>
        <v/>
      </c>
      <c r="V121" s="1" t="str">
        <f aca="false">IF($P121="","",$P121*M121*$C$4*$C$5)</f>
        <v/>
      </c>
      <c r="W121" s="1" t="str">
        <f aca="false">IF($P121="","",$P121*N121*$C$4*$C$5)</f>
        <v/>
      </c>
      <c r="X121" s="1" t="str">
        <f aca="false">IF(S121="","",S121/$E$7)</f>
        <v/>
      </c>
      <c r="Y121" s="1" t="str">
        <f aca="false">IF(T121="","",T121/$F$7)</f>
        <v/>
      </c>
      <c r="Z121" s="1" t="str">
        <f aca="false">IF(U121="","",U121/$G$7)</f>
        <v/>
      </c>
      <c r="AA121" s="1" t="str">
        <f aca="false">IF(V121="","",V121/$H$7)</f>
        <v/>
      </c>
      <c r="AB121" s="1" t="str">
        <f aca="false">IF(W121="","",W121/$I$7)</f>
        <v/>
      </c>
      <c r="AC121" s="1" t="str">
        <f aca="false">IF(COUNTIF(X121:AB121,"&gt;="&amp;$C$6)&gt;0,"PROMOTE","")</f>
        <v/>
      </c>
      <c r="AD121" s="1" t="str">
        <f aca="false">IF(COUNTIF(Sources_06!$B$33:$B$73,A121)&gt;0,"Y","")</f>
        <v/>
      </c>
      <c r="AE121" s="1" t="str">
        <f aca="false">IF(AD121="Y",MIN(0.5,Sources_06!$D$11/$C$4),"")</f>
        <v/>
      </c>
    </row>
    <row r="122" customFormat="false" ht="15" hidden="false" customHeight="true" outlineLevel="0" collapsed="false">
      <c r="A122" s="1" t="n">
        <v>118</v>
      </c>
      <c r="B122" s="1" t="str">
        <f aca="false">Wording_Ranks!B119</f>
        <v>Placental Abruption</v>
      </c>
      <c r="C122" s="1" t="str">
        <f aca="false">Wording_Ranks!C119</f>
        <v>Pregnancy / Female-only</v>
      </c>
      <c r="D122" s="1" t="str">
        <f aca="false">Wording_Ranks!D119</f>
        <v>Low</v>
      </c>
      <c r="E122" s="1" t="str">
        <f aca="false">Wording_Ranks!F119</f>
        <v>Not covered</v>
      </c>
      <c r="F122" s="1" t="str">
        <f aca="false">Wording_Ranks!H119</f>
        <v>Ancillary</v>
      </c>
      <c r="G122" s="1" t="str">
        <f aca="false">Wording_Ranks!J119</f>
        <v>Not covered</v>
      </c>
      <c r="H122" s="1" t="str">
        <f aca="false">Wording_Ranks!M119</f>
        <v>Not covered</v>
      </c>
      <c r="I122" s="1" t="str">
        <f aca="false">Wording_Ranks!O119</f>
        <v>Not covered</v>
      </c>
      <c r="J122" s="98" t="n">
        <f aca="false">IF(OR($E122="Not covered",$E122="Child-only"),0,IF($E122="Full",1,IF($E122="Ancillary",MAX(0.1,MIN(0.5,IF($AN$7="",0.5*$C$4,$AN$7)/$C$4)),MIN(0.5,IF($AN$7="",0.5*$C$4,$AN$7)/$C$4))))</f>
        <v>0</v>
      </c>
      <c r="K122" s="98" t="n">
        <f aca="false">IF(OR($F122="Not covered",$F122="Child-only"),0,IF($F122="Full",1,IF($AD122="Y",$AE122,IF($F122="Ancillary",MAX(0.1,MIN(0.5,IF($AO$7="",0.5*$C$4,$AO$7)/$C$4)),MIN(0.5,IF($AO$7="",0.5*$C$4,$AO$7)/$C$4)))))</f>
        <v>0.1</v>
      </c>
      <c r="L122" s="98" t="n">
        <f aca="false">IF(OR($G122="Not covered",$G122="Child-only"),0,IF($G122="Full",1,IF($G122="Ancillary",MAX(0.1,MIN(0.5,IF($AS122&lt;&gt;"",$AS122,IF($AP$7="",0.5*$C$4,$AP$7))/$C$4)),MIN(0.5,IF($AS122&lt;&gt;"",$AS122,IF($AP$7="",0.5*$C$4,$AP$7))/$C$4))))</f>
        <v>0</v>
      </c>
      <c r="M122" s="98" t="n">
        <f aca="false">IF(OR($H122="Not covered",$H122="Child-only"),0,IF($H122="Full",1,IF($H122="Ancillary",MAX(0.1,MIN(0.5,IF($AM122&lt;&gt;"",$AM122,IF($AQ$7="",0.5*$C$4,$AQ$7))/$C$4)),MIN(0.5,IF($AM122&lt;&gt;"",$AM122,IF($AQ$7="",0.5*$C$4,$AQ$7))/$C$4))))</f>
        <v>0</v>
      </c>
      <c r="N122" s="98" t="n">
        <f aca="false">IF(OR($I122="Not covered",$I122="Child-only"),0,IF($I122="Full",1,IF($I122="Ancillary",MAX(0.1,MIN(0.5,IF($AR$7="",0.5*$C$4,$AR$7)/$C$4)),MIN(0.5,IF($AR$7="",0.5*$C$4,$AR$7)/$C$4))))</f>
        <v>0</v>
      </c>
      <c r="P122" s="1" t="str">
        <f aca="false">IF(O122="","",1-EXP(-O122/100000))</f>
        <v/>
      </c>
      <c r="R122" s="1" t="s">
        <v>1136</v>
      </c>
      <c r="S122" s="1" t="str">
        <f aca="false">IF($P122="","",$P122*J122*$C$4*$C$5)</f>
        <v/>
      </c>
      <c r="T122" s="1" t="str">
        <f aca="false">IF($P122="","",$P122*K122*$C$4*$C$5)</f>
        <v/>
      </c>
      <c r="U122" s="1" t="str">
        <f aca="false">IF($P122="","",$P122*L122*$C$4*$C$5)</f>
        <v/>
      </c>
      <c r="V122" s="1" t="str">
        <f aca="false">IF($P122="","",$P122*M122*$C$4*$C$5)</f>
        <v/>
      </c>
      <c r="W122" s="1" t="str">
        <f aca="false">IF($P122="","",$P122*N122*$C$4*$C$5)</f>
        <v/>
      </c>
      <c r="X122" s="1" t="str">
        <f aca="false">IF(S122="","",S122/$E$7)</f>
        <v/>
      </c>
      <c r="Y122" s="1" t="str">
        <f aca="false">IF(T122="","",T122/$F$7)</f>
        <v/>
      </c>
      <c r="Z122" s="1" t="str">
        <f aca="false">IF(U122="","",U122/$G$7)</f>
        <v/>
      </c>
      <c r="AA122" s="1" t="str">
        <f aca="false">IF(V122="","",V122/$H$7)</f>
        <v/>
      </c>
      <c r="AB122" s="1" t="str">
        <f aca="false">IF(W122="","",W122/$I$7)</f>
        <v/>
      </c>
      <c r="AC122" s="1" t="str">
        <f aca="false">IF(COUNTIF(X122:AB122,"&gt;="&amp;$C$6)&gt;0,"PROMOTE","")</f>
        <v/>
      </c>
      <c r="AD122" s="1" t="str">
        <f aca="false">IF(COUNTIF(Sources_06!$B$33:$B$73,A122)&gt;0,"Y","")</f>
        <v/>
      </c>
      <c r="AE122" s="1" t="str">
        <f aca="false">IF(AD122="Y",MIN(0.5,Sources_06!$D$11/$C$4),"")</f>
        <v/>
      </c>
    </row>
    <row r="123" customFormat="false" ht="15" hidden="false" customHeight="true" outlineLevel="0" collapsed="false">
      <c r="A123" s="1" t="n">
        <v>119</v>
      </c>
      <c r="B123" s="1" t="str">
        <f aca="false">Wording_Ranks!B120</f>
        <v>Severe Mental Illness</v>
      </c>
      <c r="C123" s="1" t="str">
        <f aca="false">Wording_Ranks!C120</f>
        <v>Psychiatric</v>
      </c>
      <c r="D123" s="1" t="str">
        <f aca="false">Wording_Ranks!D120</f>
        <v>Low</v>
      </c>
      <c r="E123" s="1" t="str">
        <f aca="false">Wording_Ranks!F120</f>
        <v>Not covered</v>
      </c>
      <c r="F123" s="1" t="str">
        <f aca="false">Wording_Ranks!H120</f>
        <v>Not covered</v>
      </c>
      <c r="G123" s="1" t="str">
        <f aca="false">Wording_Ranks!J120</f>
        <v>Not covered</v>
      </c>
      <c r="H123" s="1" t="str">
        <f aca="false">Wording_Ranks!M120</f>
        <v>Partial</v>
      </c>
      <c r="I123" s="1" t="str">
        <f aca="false">Wording_Ranks!O120</f>
        <v>Not covered</v>
      </c>
      <c r="J123" s="98" t="n">
        <f aca="false">IF(OR($E123="Not covered",$E123="Child-only"),0,IF($E123="Full",1,IF($E123="Ancillary",MAX(0.1,MIN(0.5,IF($AN$7="",0.5*$C$4,$AN$7)/$C$4)),MIN(0.5,IF($AN$7="",0.5*$C$4,$AN$7)/$C$4))))</f>
        <v>0</v>
      </c>
      <c r="K123" s="98" t="n">
        <f aca="false">IF(OR($F123="Not covered",$F123="Child-only"),0,IF($F123="Full",1,IF($AD123="Y",$AE123,IF($F123="Ancillary",MAX(0.1,MIN(0.5,IF($AO$7="",0.5*$C$4,$AO$7)/$C$4)),MIN(0.5,IF($AO$7="",0.5*$C$4,$AO$7)/$C$4)))))</f>
        <v>0</v>
      </c>
      <c r="L123" s="98" t="n">
        <f aca="false">IF(OR($G123="Not covered",$G123="Child-only"),0,IF($G123="Full",1,IF($G123="Ancillary",MAX(0.1,MIN(0.5,IF($AS123&lt;&gt;"",$AS123,IF($AP$7="",0.5*$C$4,$AP$7))/$C$4)),MIN(0.5,IF($AS123&lt;&gt;"",$AS123,IF($AP$7="",0.5*$C$4,$AP$7))/$C$4))))</f>
        <v>0</v>
      </c>
      <c r="M123" s="98" t="n">
        <f aca="false">IF(OR($H123="Not covered",$H123="Child-only"),0,IF($H123="Full",1,IF($H123="Ancillary",MAX(0.1,MIN(0.5,IF($AM123&lt;&gt;"",$AM123,IF($AQ$7="",0.5*$C$4,$AQ$7))/$C$4)),MIN(0.5,IF($AM123&lt;&gt;"",$AM123,IF($AQ$7="",0.5*$C$4,$AQ$7))/$C$4))))</f>
        <v>0.093167701863354</v>
      </c>
      <c r="N123" s="98" t="n">
        <f aca="false">IF(OR($I123="Not covered",$I123="Child-only"),0,IF($I123="Full",1,IF($I123="Ancillary",MAX(0.1,MIN(0.5,IF($AR$7="",0.5*$C$4,$AR$7)/$C$4)),MIN(0.5,IF($AR$7="",0.5*$C$4,$AR$7)/$C$4))))</f>
        <v>0</v>
      </c>
      <c r="P123" s="1" t="str">
        <f aca="false">IF(O123="","",1-EXP(-O123/100000))</f>
        <v/>
      </c>
      <c r="R123" s="1" t="s">
        <v>822</v>
      </c>
      <c r="S123" s="1" t="str">
        <f aca="false">IF($P123="","",$P123*J123*$C$4*$C$5)</f>
        <v/>
      </c>
      <c r="T123" s="1" t="str">
        <f aca="false">IF($P123="","",$P123*K123*$C$4*$C$5)</f>
        <v/>
      </c>
      <c r="U123" s="1" t="str">
        <f aca="false">IF($P123="","",$P123*L123*$C$4*$C$5)</f>
        <v/>
      </c>
      <c r="V123" s="1" t="str">
        <f aca="false">IF($P123="","",$P123*M123*$C$4*$C$5)</f>
        <v/>
      </c>
      <c r="W123" s="1" t="str">
        <f aca="false">IF($P123="","",$P123*N123*$C$4*$C$5)</f>
        <v/>
      </c>
      <c r="X123" s="1" t="str">
        <f aca="false">IF(S123="","",S123/$E$7)</f>
        <v/>
      </c>
      <c r="Y123" s="1" t="str">
        <f aca="false">IF(T123="","",T123/$F$7)</f>
        <v/>
      </c>
      <c r="Z123" s="1" t="str">
        <f aca="false">IF(U123="","",U123/$G$7)</f>
        <v/>
      </c>
      <c r="AA123" s="1" t="str">
        <f aca="false">IF(V123="","",V123/$H$7)</f>
        <v/>
      </c>
      <c r="AB123" s="1" t="str">
        <f aca="false">IF(W123="","",W123/$I$7)</f>
        <v/>
      </c>
      <c r="AC123" s="1" t="str">
        <f aca="false">IF(COUNTIF(X123:AB123,"&gt;="&amp;$C$6)&gt;0,"PROMOTE","")</f>
        <v/>
      </c>
      <c r="AD123" s="1" t="str">
        <f aca="false">IF(COUNTIF(Sources_06!$B$33:$B$73,A123)&gt;0,"Y","")</f>
        <v/>
      </c>
      <c r="AE123" s="1" t="str">
        <f aca="false">IF(AD123="Y",MIN(0.5,Sources_06!$D$11/$C$4),"")</f>
        <v/>
      </c>
    </row>
    <row r="124" customFormat="false" ht="15" hidden="false" customHeight="true" outlineLevel="0" collapsed="false">
      <c r="A124" s="1" t="n">
        <v>121</v>
      </c>
      <c r="B124" s="1" t="str">
        <f aca="false">Wording_Ranks!B122</f>
        <v>Interstitial Lung Disease</v>
      </c>
      <c r="C124" s="1" t="str">
        <f aca="false">Wording_Ranks!C122</f>
        <v>Respiratory</v>
      </c>
      <c r="D124" s="1" t="str">
        <f aca="false">Wording_Ranks!D122</f>
        <v>Low</v>
      </c>
      <c r="E124" s="1" t="str">
        <f aca="false">Wording_Ranks!F122</f>
        <v>Not covered</v>
      </c>
      <c r="F124" s="1" t="str">
        <f aca="false">Wording_Ranks!H122</f>
        <v>Not covered</v>
      </c>
      <c r="G124" s="1" t="str">
        <f aca="false">Wording_Ranks!J122</f>
        <v>Not covered</v>
      </c>
      <c r="H124" s="1" t="str">
        <f aca="false">Wording_Ranks!M122</f>
        <v>Full</v>
      </c>
      <c r="I124" s="1" t="str">
        <f aca="false">Wording_Ranks!O122</f>
        <v>Not covered</v>
      </c>
      <c r="J124" s="98" t="n">
        <f aca="false">IF(OR($E124="Not covered",$E124="Child-only"),0,IF($E124="Full",1,IF($E124="Ancillary",MAX(0.1,MIN(0.5,IF($AN$7="",0.5*$C$4,$AN$7)/$C$4)),MIN(0.5,IF($AN$7="",0.5*$C$4,$AN$7)/$C$4))))</f>
        <v>0</v>
      </c>
      <c r="K124" s="98" t="n">
        <f aca="false">IF(OR($F124="Not covered",$F124="Child-only"),0,IF($F124="Full",1,IF($AD124="Y",$AE124,IF($F124="Ancillary",MAX(0.1,MIN(0.5,IF($AO$7="",0.5*$C$4,$AO$7)/$C$4)),MIN(0.5,IF($AO$7="",0.5*$C$4,$AO$7)/$C$4)))))</f>
        <v>0</v>
      </c>
      <c r="L124" s="98" t="n">
        <f aca="false">IF(OR($G124="Not covered",$G124="Child-only"),0,IF($G124="Full",1,IF($G124="Ancillary",MAX(0.1,MIN(0.5,IF($AS124&lt;&gt;"",$AS124,IF($AP$7="",0.5*$C$4,$AP$7))/$C$4)),MIN(0.5,IF($AS124&lt;&gt;"",$AS124,IF($AP$7="",0.5*$C$4,$AP$7))/$C$4))))</f>
        <v>0</v>
      </c>
      <c r="M124" s="98" t="n">
        <f aca="false">IF(OR($H124="Not covered",$H124="Child-only"),0,IF($H124="Full",1,IF($H124="Ancillary",MAX(0.1,MIN(0.5,IF($AM124&lt;&gt;"",$AM124,IF($AQ$7="",0.5*$C$4,$AQ$7))/$C$4)),MIN(0.5,IF($AM124&lt;&gt;"",$AM124,IF($AQ$7="",0.5*$C$4,$AQ$7))/$C$4))))</f>
        <v>1</v>
      </c>
      <c r="N124" s="98" t="n">
        <f aca="false">IF(OR($I124="Not covered",$I124="Child-only"),0,IF($I124="Full",1,IF($I124="Ancillary",MAX(0.1,MIN(0.5,IF($AR$7="",0.5*$C$4,$AR$7)/$C$4)),MIN(0.5,IF($AR$7="",0.5*$C$4,$AR$7)/$C$4))))</f>
        <v>0</v>
      </c>
      <c r="P124" s="1" t="str">
        <f aca="false">IF(O124="","",1-EXP(-O124/100000))</f>
        <v/>
      </c>
      <c r="R124" s="1" t="s">
        <v>822</v>
      </c>
      <c r="S124" s="1" t="str">
        <f aca="false">IF($P124="","",$P124*J124*$C$4*$C$5)</f>
        <v/>
      </c>
      <c r="T124" s="1" t="str">
        <f aca="false">IF($P124="","",$P124*K124*$C$4*$C$5)</f>
        <v/>
      </c>
      <c r="U124" s="1" t="str">
        <f aca="false">IF($P124="","",$P124*L124*$C$4*$C$5)</f>
        <v/>
      </c>
      <c r="V124" s="1" t="str">
        <f aca="false">IF($P124="","",$P124*M124*$C$4*$C$5)</f>
        <v/>
      </c>
      <c r="W124" s="1" t="str">
        <f aca="false">IF($P124="","",$P124*N124*$C$4*$C$5)</f>
        <v/>
      </c>
      <c r="X124" s="1" t="str">
        <f aca="false">IF(S124="","",S124/$E$7)</f>
        <v/>
      </c>
      <c r="Y124" s="1" t="str">
        <f aca="false">IF(T124="","",T124/$F$7)</f>
        <v/>
      </c>
      <c r="Z124" s="1" t="str">
        <f aca="false">IF(U124="","",U124/$G$7)</f>
        <v/>
      </c>
      <c r="AA124" s="1" t="str">
        <f aca="false">IF(V124="","",V124/$H$7)</f>
        <v/>
      </c>
      <c r="AB124" s="1" t="str">
        <f aca="false">IF(W124="","",W124/$I$7)</f>
        <v/>
      </c>
      <c r="AC124" s="1" t="str">
        <f aca="false">IF(COUNTIF(X124:AB124,"&gt;="&amp;$C$6)&gt;0,"PROMOTE","")</f>
        <v/>
      </c>
      <c r="AD124" s="1" t="str">
        <f aca="false">IF(COUNTIF(Sources_06!$B$33:$B$73,A124)&gt;0,"Y","")</f>
        <v/>
      </c>
      <c r="AE124" s="1" t="str">
        <f aca="false">IF(AD124="Y",MIN(0.5,Sources_06!$D$11/$C$4),"")</f>
        <v/>
      </c>
    </row>
    <row r="125" customFormat="false" ht="15" hidden="false" customHeight="true" outlineLevel="0" collapsed="false">
      <c r="A125" s="1" t="n">
        <v>122</v>
      </c>
      <c r="B125" s="1" t="str">
        <f aca="false">Wording_Ranks!B123</f>
        <v>Respiratory Failure</v>
      </c>
      <c r="C125" s="1" t="str">
        <f aca="false">Wording_Ranks!C123</f>
        <v>Respiratory</v>
      </c>
      <c r="D125" s="1" t="str">
        <f aca="false">Wording_Ranks!D123</f>
        <v>Low</v>
      </c>
      <c r="E125" s="1" t="str">
        <f aca="false">Wording_Ranks!F123</f>
        <v>Not covered</v>
      </c>
      <c r="F125" s="1" t="str">
        <f aca="false">Wording_Ranks!H123</f>
        <v>Full</v>
      </c>
      <c r="G125" s="1" t="str">
        <f aca="false">Wording_Ranks!J123</f>
        <v>Not covered</v>
      </c>
      <c r="H125" s="1" t="str">
        <f aca="false">Wording_Ranks!M123</f>
        <v>Not covered</v>
      </c>
      <c r="I125" s="1" t="str">
        <f aca="false">Wording_Ranks!O123</f>
        <v>Not covered</v>
      </c>
      <c r="J125" s="98" t="n">
        <f aca="false">IF(OR($E125="Not covered",$E125="Child-only"),0,IF($E125="Full",1,IF($E125="Ancillary",MAX(0.1,MIN(0.5,IF($AN$7="",0.5*$C$4,$AN$7)/$C$4)),MIN(0.5,IF($AN$7="",0.5*$C$4,$AN$7)/$C$4))))</f>
        <v>0</v>
      </c>
      <c r="K125" s="98" t="n">
        <f aca="false">IF(OR($F125="Not covered",$F125="Child-only"),0,IF($F125="Full",1,IF($AD125="Y",$AE125,IF($F125="Ancillary",MAX(0.1,MIN(0.5,IF($AO$7="",0.5*$C$4,$AO$7)/$C$4)),MIN(0.5,IF($AO$7="",0.5*$C$4,$AO$7)/$C$4)))))</f>
        <v>1</v>
      </c>
      <c r="L125" s="98" t="n">
        <f aca="false">IF(OR($G125="Not covered",$G125="Child-only"),0,IF($G125="Full",1,IF($G125="Ancillary",MAX(0.1,MIN(0.5,IF($AS125&lt;&gt;"",$AS125,IF($AP$7="",0.5*$C$4,$AP$7))/$C$4)),MIN(0.5,IF($AS125&lt;&gt;"",$AS125,IF($AP$7="",0.5*$C$4,$AP$7))/$C$4))))</f>
        <v>0</v>
      </c>
      <c r="M125" s="98" t="n">
        <f aca="false">IF(OR($H125="Not covered",$H125="Child-only"),0,IF($H125="Full",1,IF($H125="Ancillary",MAX(0.1,MIN(0.5,IF($AM125&lt;&gt;"",$AM125,IF($AQ$7="",0.5*$C$4,$AQ$7))/$C$4)),MIN(0.5,IF($AM125&lt;&gt;"",$AM125,IF($AQ$7="",0.5*$C$4,$AQ$7))/$C$4))))</f>
        <v>0</v>
      </c>
      <c r="N125" s="98" t="n">
        <f aca="false">IF(OR($I125="Not covered",$I125="Child-only"),0,IF($I125="Full",1,IF($I125="Ancillary",MAX(0.1,MIN(0.5,IF($AR$7="",0.5*$C$4,$AR$7)/$C$4)),MIN(0.5,IF($AR$7="",0.5*$C$4,$AR$7)/$C$4))))</f>
        <v>0</v>
      </c>
      <c r="P125" s="1" t="str">
        <f aca="false">IF(O125="","",1-EXP(-O125/100000))</f>
        <v/>
      </c>
      <c r="R125" s="1" t="s">
        <v>822</v>
      </c>
      <c r="S125" s="1" t="str">
        <f aca="false">IF($P125="","",$P125*J125*$C$4*$C$5)</f>
        <v/>
      </c>
      <c r="T125" s="1" t="str">
        <f aca="false">IF($P125="","",$P125*K125*$C$4*$C$5)</f>
        <v/>
      </c>
      <c r="U125" s="1" t="str">
        <f aca="false">IF($P125="","",$P125*L125*$C$4*$C$5)</f>
        <v/>
      </c>
      <c r="V125" s="1" t="str">
        <f aca="false">IF($P125="","",$P125*M125*$C$4*$C$5)</f>
        <v/>
      </c>
      <c r="W125" s="1" t="str">
        <f aca="false">IF($P125="","",$P125*N125*$C$4*$C$5)</f>
        <v/>
      </c>
      <c r="X125" s="1" t="str">
        <f aca="false">IF(S125="","",S125/$E$7)</f>
        <v/>
      </c>
      <c r="Y125" s="1" t="str">
        <f aca="false">IF(T125="","",T125/$F$7)</f>
        <v/>
      </c>
      <c r="Z125" s="1" t="str">
        <f aca="false">IF(U125="","",U125/$G$7)</f>
        <v/>
      </c>
      <c r="AA125" s="1" t="str">
        <f aca="false">IF(V125="","",V125/$H$7)</f>
        <v/>
      </c>
      <c r="AB125" s="1" t="str">
        <f aca="false">IF(W125="","",W125/$I$7)</f>
        <v/>
      </c>
      <c r="AC125" s="1" t="str">
        <f aca="false">IF(COUNTIF(X125:AB125,"&gt;="&amp;$C$6)&gt;0,"PROMOTE","")</f>
        <v/>
      </c>
      <c r="AD125" s="1" t="str">
        <f aca="false">IF(COUNTIF(Sources_06!$B$33:$B$73,A125)&gt;0,"Y","")</f>
        <v/>
      </c>
      <c r="AE125" s="1" t="str">
        <f aca="false">IF(AD125="Y",MIN(0.5,Sources_06!$D$11/$C$4),"")</f>
        <v/>
      </c>
    </row>
    <row r="126" customFormat="false" ht="15" hidden="false" customHeight="true" outlineLevel="0" collapsed="false">
      <c r="A126" s="1" t="n">
        <v>123</v>
      </c>
      <c r="B126" s="1" t="str">
        <f aca="false">Wording_Ranks!B124</f>
        <v>Severe / Chronic Lung Disease</v>
      </c>
      <c r="C126" s="1" t="str">
        <f aca="false">Wording_Ranks!C124</f>
        <v>Respiratory</v>
      </c>
      <c r="D126" s="1" t="str">
        <f aca="false">Wording_Ranks!D124</f>
        <v>Low</v>
      </c>
      <c r="E126" s="1" t="str">
        <f aca="false">Wording_Ranks!F124</f>
        <v>Full</v>
      </c>
      <c r="F126" s="1" t="str">
        <f aca="false">Wording_Ranks!H124</f>
        <v>Not covered</v>
      </c>
      <c r="G126" s="1" t="str">
        <f aca="false">Wording_Ranks!J124</f>
        <v>Full</v>
      </c>
      <c r="H126" s="1" t="str">
        <f aca="false">Wording_Ranks!M124</f>
        <v>Full</v>
      </c>
      <c r="I126" s="1" t="str">
        <f aca="false">Wording_Ranks!O124</f>
        <v>Full</v>
      </c>
      <c r="J126" s="98" t="n">
        <f aca="false">IF(OR($E126="Not covered",$E126="Child-only"),0,IF($E126="Full",1,IF($E126="Ancillary",MAX(0.1,MIN(0.5,IF($AN$7="",0.5*$C$4,$AN$7)/$C$4)),MIN(0.5,IF($AN$7="",0.5*$C$4,$AN$7)/$C$4))))</f>
        <v>1</v>
      </c>
      <c r="K126" s="98" t="n">
        <f aca="false">IF(OR($F126="Not covered",$F126="Child-only"),0,IF($F126="Full",1,IF($AD126="Y",$AE126,IF($F126="Ancillary",MAX(0.1,MIN(0.5,IF($AO$7="",0.5*$C$4,$AO$7)/$C$4)),MIN(0.5,IF($AO$7="",0.5*$C$4,$AO$7)/$C$4)))))</f>
        <v>0</v>
      </c>
      <c r="L126" s="98" t="n">
        <f aca="false">IF(OR($G126="Not covered",$G126="Child-only"),0,IF($G126="Full",1,IF($G126="Ancillary",MAX(0.1,MIN(0.5,IF($AS126&lt;&gt;"",$AS126,IF($AP$7="",0.5*$C$4,$AP$7))/$C$4)),MIN(0.5,IF($AS126&lt;&gt;"",$AS126,IF($AP$7="",0.5*$C$4,$AP$7))/$C$4))))</f>
        <v>1</v>
      </c>
      <c r="M126" s="98" t="n">
        <f aca="false">IF(OR($H126="Not covered",$H126="Child-only"),0,IF($H126="Full",1,IF($H126="Ancillary",MAX(0.1,MIN(0.5,IF($AM126&lt;&gt;"",$AM126,IF($AQ$7="",0.5*$C$4,$AQ$7))/$C$4)),MIN(0.5,IF($AM126&lt;&gt;"",$AM126,IF($AQ$7="",0.5*$C$4,$AQ$7))/$C$4))))</f>
        <v>1</v>
      </c>
      <c r="N126" s="98" t="n">
        <f aca="false">IF(OR($I126="Not covered",$I126="Child-only"),0,IF($I126="Full",1,IF($I126="Ancillary",MAX(0.1,MIN(0.5,IF($AR$7="",0.5*$C$4,$AR$7)/$C$4)),MIN(0.5,IF($AR$7="",0.5*$C$4,$AR$7)/$C$4))))</f>
        <v>1</v>
      </c>
      <c r="P126" s="1" t="str">
        <f aca="false">IF(O126="","",1-EXP(-O126/100000))</f>
        <v/>
      </c>
      <c r="R126" s="1" t="s">
        <v>822</v>
      </c>
      <c r="S126" s="1" t="str">
        <f aca="false">IF($P126="","",$P126*J126*$C$4*$C$5)</f>
        <v/>
      </c>
      <c r="T126" s="1" t="str">
        <f aca="false">IF($P126="","",$P126*K126*$C$4*$C$5)</f>
        <v/>
      </c>
      <c r="U126" s="1" t="str">
        <f aca="false">IF($P126="","",$P126*L126*$C$4*$C$5)</f>
        <v/>
      </c>
      <c r="V126" s="1" t="str">
        <f aca="false">IF($P126="","",$P126*M126*$C$4*$C$5)</f>
        <v/>
      </c>
      <c r="W126" s="1" t="str">
        <f aca="false">IF($P126="","",$P126*N126*$C$4*$C$5)</f>
        <v/>
      </c>
      <c r="X126" s="1" t="str">
        <f aca="false">IF(S126="","",S126/$E$7)</f>
        <v/>
      </c>
      <c r="Y126" s="1" t="str">
        <f aca="false">IF(T126="","",T126/$F$7)</f>
        <v/>
      </c>
      <c r="Z126" s="1" t="str">
        <f aca="false">IF(U126="","",U126/$G$7)</f>
        <v/>
      </c>
      <c r="AA126" s="1" t="str">
        <f aca="false">IF(V126="","",V126/$H$7)</f>
        <v/>
      </c>
      <c r="AB126" s="1" t="str">
        <f aca="false">IF(W126="","",W126/$I$7)</f>
        <v/>
      </c>
      <c r="AC126" s="1" t="str">
        <f aca="false">IF(COUNTIF(X126:AB126,"&gt;="&amp;$C$6)&gt;0,"PROMOTE","")</f>
        <v/>
      </c>
      <c r="AD126" s="1" t="str">
        <f aca="false">IF(COUNTIF(Sources_06!$B$33:$B$73,A126)&gt;0,"Y","")</f>
        <v/>
      </c>
      <c r="AE126" s="1" t="str">
        <f aca="false">IF(AD126="Y",MIN(0.5,Sources_06!$D$11/$C$4),"")</f>
        <v/>
      </c>
    </row>
    <row r="127" customFormat="false" ht="15" hidden="false" customHeight="true" outlineLevel="0" collapsed="false">
      <c r="A127" s="1" t="n">
        <v>124</v>
      </c>
      <c r="B127" s="1" t="str">
        <f aca="false">Wording_Ranks!B125</f>
        <v>Cystic Fibrosis</v>
      </c>
      <c r="C127" s="1" t="str">
        <f aca="false">Wording_Ranks!C125</f>
        <v>Respiratory / Genetic</v>
      </c>
      <c r="D127" s="1" t="str">
        <f aca="false">Wording_Ranks!D125</f>
        <v>Rare</v>
      </c>
      <c r="E127" s="1" t="str">
        <f aca="false">Wording_Ranks!F125</f>
        <v>Not covered</v>
      </c>
      <c r="F127" s="1" t="str">
        <f aca="false">Wording_Ranks!H125</f>
        <v>Not covered</v>
      </c>
      <c r="G127" s="1" t="str">
        <f aca="false">Wording_Ranks!J125</f>
        <v>Not covered</v>
      </c>
      <c r="H127" s="1" t="str">
        <f aca="false">Wording_Ranks!M125</f>
        <v>Not covered</v>
      </c>
      <c r="I127" s="1" t="str">
        <f aca="false">Wording_Ranks!O125</f>
        <v>Child-only</v>
      </c>
      <c r="J127" s="98" t="n">
        <f aca="false">IF(OR($E127="Not covered",$E127="Child-only"),0,IF($E127="Full",1,IF($E127="Ancillary",MAX(0.1,MIN(0.5,IF($AN$7="",0.5*$C$4,$AN$7)/$C$4)),MIN(0.5,IF($AN$7="",0.5*$C$4,$AN$7)/$C$4))))</f>
        <v>0</v>
      </c>
      <c r="K127" s="98" t="n">
        <f aca="false">IF(OR($F127="Not covered",$F127="Child-only"),0,IF($F127="Full",1,IF($AD127="Y",$AE127,IF($F127="Ancillary",MAX(0.1,MIN(0.5,IF($AO$7="",0.5*$C$4,$AO$7)/$C$4)),MIN(0.5,IF($AO$7="",0.5*$C$4,$AO$7)/$C$4)))))</f>
        <v>0</v>
      </c>
      <c r="L127" s="98" t="n">
        <f aca="false">IF(OR($G127="Not covered",$G127="Child-only"),0,IF($G127="Full",1,IF($G127="Ancillary",MAX(0.1,MIN(0.5,IF($AS127&lt;&gt;"",$AS127,IF($AP$7="",0.5*$C$4,$AP$7))/$C$4)),MIN(0.5,IF($AS127&lt;&gt;"",$AS127,IF($AP$7="",0.5*$C$4,$AP$7))/$C$4))))</f>
        <v>0</v>
      </c>
      <c r="M127" s="98" t="n">
        <f aca="false">IF(OR($H127="Not covered",$H127="Child-only"),0,IF($H127="Full",1,IF($H127="Ancillary",MAX(0.1,MIN(0.5,IF($AM127&lt;&gt;"",$AM127,IF($AQ$7="",0.5*$C$4,$AQ$7))/$C$4)),MIN(0.5,IF($AM127&lt;&gt;"",$AM127,IF($AQ$7="",0.5*$C$4,$AQ$7))/$C$4))))</f>
        <v>0</v>
      </c>
      <c r="N127" s="98" t="n">
        <f aca="false">IF(OR($I127="Not covered",$I127="Child-only"),0,IF($I127="Full",1,IF($I127="Ancillary",MAX(0.1,MIN(0.5,IF($AR$7="",0.5*$C$4,$AR$7)/$C$4)),MIN(0.5,IF($AR$7="",0.5*$C$4,$AR$7)/$C$4))))</f>
        <v>0</v>
      </c>
      <c r="O127" s="1" t="n">
        <f aca="false">IF(OR($AF$7="",$AG$7=""),"",MAX(AF127/$AF$7,AG127/$AG$7)*100000*IF(AI127="",1,AI127))</f>
        <v>69.2242386422181</v>
      </c>
      <c r="P127" s="1" t="n">
        <f aca="false">IF(O127="","",1-EXP(-O127/100000))</f>
        <v>0.000692002841938821</v>
      </c>
      <c r="Q127" s="1" t="s">
        <v>965</v>
      </c>
      <c r="R127" s="1" t="s">
        <v>1137</v>
      </c>
      <c r="S127" s="1" t="n">
        <f aca="false">IF($P127="","",$P127*J127*$C$4*$C$5)</f>
        <v>0</v>
      </c>
      <c r="T127" s="1" t="n">
        <f aca="false">IF($P127="","",$P127*K127*$C$4*$C$5)</f>
        <v>0</v>
      </c>
      <c r="U127" s="1" t="n">
        <f aca="false">IF($P127="","",$P127*L127*$C$4*$C$5)</f>
        <v>0</v>
      </c>
      <c r="V127" s="1" t="n">
        <f aca="false">IF($P127="","",$P127*M127*$C$4*$C$5)</f>
        <v>0</v>
      </c>
      <c r="W127" s="1" t="n">
        <f aca="false">IF($P127="","",$P127*N127*$C$4*$C$5)</f>
        <v>0</v>
      </c>
      <c r="X127" s="1" t="n">
        <f aca="false">IF(S127="","",S127/$E$7)</f>
        <v>0</v>
      </c>
      <c r="Y127" s="1" t="n">
        <f aca="false">IF(T127="","",T127/$F$7)</f>
        <v>0</v>
      </c>
      <c r="Z127" s="1" t="n">
        <f aca="false">IF(U127="","",U127/$G$7)</f>
        <v>0</v>
      </c>
      <c r="AA127" s="1" t="n">
        <f aca="false">IF(V127="","",V127/$H$7)</f>
        <v>0</v>
      </c>
      <c r="AB127" s="1" t="n">
        <f aca="false">IF(W127="","",W127/$I$7)</f>
        <v>0</v>
      </c>
      <c r="AC127" s="1" t="str">
        <f aca="false">IF(COUNTIF(X127:AB127,"&gt;="&amp;$C$6)&gt;0,"PROMOTE","")</f>
        <v/>
      </c>
      <c r="AD127" s="1" t="str">
        <f aca="false">IF(COUNTIF(Sources_06!$B$33:$B$73,A127)&gt;0,"Y","")</f>
        <v/>
      </c>
      <c r="AE127" s="1" t="str">
        <f aca="false">IF(AD127="Y",MIN(0.5,Sources_06!$D$11/$C$4),"")</f>
        <v/>
      </c>
      <c r="AF127" s="1" t="n">
        <v>1431</v>
      </c>
      <c r="AG127" s="1" t="n">
        <v>453</v>
      </c>
      <c r="AH127" s="1" t="s">
        <v>1172</v>
      </c>
      <c r="AJ127" s="1" t="s">
        <v>1173</v>
      </c>
    </row>
    <row r="128" customFormat="false" ht="15" hidden="false" customHeight="true" outlineLevel="0" collapsed="false">
      <c r="A128" s="1" t="n">
        <v>125</v>
      </c>
      <c r="B128" s="1" t="str">
        <f aca="false">Wording_Ranks!B126</f>
        <v>Single Lobectomy – for Disease or Trauma (Partial)</v>
      </c>
      <c r="C128" s="1" t="str">
        <f aca="false">Wording_Ranks!C126</f>
        <v>Respiratory / Surgery</v>
      </c>
      <c r="D128" s="1" t="str">
        <f aca="false">Wording_Ranks!D126</f>
        <v>Low</v>
      </c>
      <c r="E128" s="1" t="str">
        <f aca="false">Wording_Ranks!F126</f>
        <v>Partial</v>
      </c>
      <c r="F128" s="1" t="str">
        <f aca="false">Wording_Ranks!H126</f>
        <v>Partial</v>
      </c>
      <c r="G128" s="1" t="str">
        <f aca="false">Wording_Ranks!J126</f>
        <v>Partial</v>
      </c>
      <c r="H128" s="1" t="str">
        <f aca="false">Wording_Ranks!M126</f>
        <v>Partial</v>
      </c>
      <c r="I128" s="1" t="str">
        <f aca="false">Wording_Ranks!O126</f>
        <v>Partial</v>
      </c>
      <c r="J128" s="98" t="n">
        <f aca="false">IF(OR($E128="Not covered",$E128="Child-only"),0,IF($E128="Full",1,IF($E128="Ancillary",MAX(0.1,MIN(0.5,IF($AN$7="",0.5*$C$4,$AN$7)/$C$4)),MIN(0.5,IF($AN$7="",0.5*$C$4,$AN$7)/$C$4))))</f>
        <v>0.124223602484472</v>
      </c>
      <c r="K128" s="98" t="n">
        <f aca="false">IF(OR($F128="Not covered",$F128="Child-only"),0,IF($F128="Full",1,IF($AD128="Y",$AE128,IF($F128="Ancillary",MAX(0.1,MIN(0.5,IF($AO$7="",0.5*$C$4,$AO$7)/$C$4)),MIN(0.5,IF($AO$7="",0.5*$C$4,$AO$7)/$C$4)))))</f>
        <v>0.093167701863354</v>
      </c>
      <c r="L128" s="98" t="n">
        <f aca="false">IF(OR($G128="Not covered",$G128="Child-only"),0,IF($G128="Full",1,IF($G128="Ancillary",MAX(0.1,MIN(0.5,IF($AS128&lt;&gt;"",$AS128,IF($AP$7="",0.5*$C$4,$AP$7))/$C$4)),MIN(0.5,IF($AS128&lt;&gt;"",$AS128,IF($AP$7="",0.5*$C$4,$AP$7))/$C$4))))</f>
        <v>0.093167701863354</v>
      </c>
      <c r="M128" s="98" t="n">
        <f aca="false">IF(OR($H128="Not covered",$H128="Child-only"),0,IF($H128="Full",1,IF($H128="Ancillary",MAX(0.1,MIN(0.5,IF($AM128&lt;&gt;"",$AM128,IF($AQ$7="",0.5*$C$4,$AQ$7))/$C$4)),MIN(0.5,IF($AM128&lt;&gt;"",$AM128,IF($AQ$7="",0.5*$C$4,$AQ$7))/$C$4))))</f>
        <v>0.093167701863354</v>
      </c>
      <c r="N128" s="98" t="n">
        <f aca="false">IF(OR($I128="Not covered",$I128="Child-only"),0,IF($I128="Full",1,IF($I128="Ancillary",MAX(0.1,MIN(0.5,IF($AR$7="",0.5*$C$4,$AR$7)/$C$4)),MIN(0.5,IF($AR$7="",0.5*$C$4,$AR$7)/$C$4))))</f>
        <v>0.093167701863354</v>
      </c>
      <c r="O128" s="1" t="n">
        <f aca="false">IF(OR($AF$7="",$AG$7=""),"",MAX(AF128/$AF$7,AG128/$AG$7)*100000*IF(AI128="",1,AI128))</f>
        <v>1044.58062909888</v>
      </c>
      <c r="P128" s="1" t="n">
        <f aca="false">IF(O128="","",1-EXP(-O128/100000))</f>
        <v>0.0103914383268676</v>
      </c>
      <c r="Q128" s="1" t="s">
        <v>965</v>
      </c>
      <c r="R128" s="1" t="s">
        <v>1137</v>
      </c>
      <c r="S128" s="1" t="n">
        <f aca="false">IF($P128="","",$P128*J128*$C$4*$C$5)</f>
        <v>4073.53554924802</v>
      </c>
      <c r="T128" s="1" t="n">
        <f aca="false">IF($P128="","",$P128*K128*$C$4*$C$5)</f>
        <v>3055.15166193602</v>
      </c>
      <c r="U128" s="1" t="n">
        <f aca="false">IF($P128="","",$P128*L128*$C$4*$C$5)</f>
        <v>3055.15166193602</v>
      </c>
      <c r="V128" s="1" t="n">
        <f aca="false">IF($P128="","",$P128*M128*$C$4*$C$5)</f>
        <v>3055.15166193602</v>
      </c>
      <c r="W128" s="1" t="n">
        <f aca="false">IF($P128="","",$P128*N128*$C$4*$C$5)</f>
        <v>3055.15166193602</v>
      </c>
      <c r="X128" s="1" t="n">
        <f aca="false">IF(S128="","",S128/$E$7)</f>
        <v>0.253780145671962</v>
      </c>
      <c r="Y128" s="1" t="n">
        <f aca="false">IF(T128="","",T128/$F$7)</f>
        <v>0.278857228934772</v>
      </c>
      <c r="Z128" s="1" t="n">
        <f aca="false">IF(U128="","",U128/$G$7)</f>
        <v>0.505217329050601</v>
      </c>
      <c r="AA128" s="1" t="n">
        <f aca="false">IF(V128="","",V128/$H$7)</f>
        <v>0.21485252093713</v>
      </c>
      <c r="AB128" s="1" t="n">
        <f aca="false">IF(W128="","",W128/$I$7)</f>
        <v>0.202608083481188</v>
      </c>
      <c r="AC128" s="1" t="str">
        <f aca="false">IF(COUNTIF(X128:AB128,"&gt;="&amp;$C$6)&gt;0,"PROMOTE","")</f>
        <v>PROMOTE</v>
      </c>
      <c r="AD128" s="1" t="str">
        <f aca="false">IF(COUNTIF(Sources_06!$B$33:$B$73,A128)&gt;0,"Y","")</f>
        <v>Y</v>
      </c>
      <c r="AE128" s="1" t="n">
        <f aca="false">IF(AD128="Y",MIN(0.5,Sources_06!$D$11/$C$4),"")</f>
        <v>0.093167701863354</v>
      </c>
      <c r="AF128" s="1" t="n">
        <v>5755</v>
      </c>
      <c r="AG128" s="1" t="n">
        <v>13510</v>
      </c>
      <c r="AH128" s="1" t="s">
        <v>1174</v>
      </c>
      <c r="AJ128" s="1" t="s">
        <v>1175</v>
      </c>
    </row>
    <row r="129" customFormat="false" ht="15" hidden="false" customHeight="true" outlineLevel="0" collapsed="false">
      <c r="A129" s="1" t="n">
        <v>126</v>
      </c>
      <c r="B129" s="1" t="str">
        <f aca="false">Wording_Ranks!B127</f>
        <v>Total Pneumonectomy</v>
      </c>
      <c r="C129" s="1" t="str">
        <f aca="false">Wording_Ranks!C127</f>
        <v>Respiratory / Surgery</v>
      </c>
      <c r="D129" s="1" t="str">
        <f aca="false">Wording_Ranks!D127</f>
        <v>Rare</v>
      </c>
      <c r="E129" s="1" t="str">
        <f aca="false">Wording_Ranks!F127</f>
        <v>Full</v>
      </c>
      <c r="F129" s="1" t="str">
        <f aca="false">Wording_Ranks!H127</f>
        <v>Full</v>
      </c>
      <c r="G129" s="1" t="str">
        <f aca="false">Wording_Ranks!J127</f>
        <v>Full</v>
      </c>
      <c r="H129" s="1" t="str">
        <f aca="false">Wording_Ranks!M127</f>
        <v>Full</v>
      </c>
      <c r="I129" s="1" t="str">
        <f aca="false">Wording_Ranks!O127</f>
        <v>Full</v>
      </c>
      <c r="J129" s="98" t="n">
        <f aca="false">IF(OR($E129="Not covered",$E129="Child-only"),0,IF($E129="Full",1,IF($E129="Ancillary",MAX(0.1,MIN(0.5,IF($AN$7="",0.5*$C$4,$AN$7)/$C$4)),MIN(0.5,IF($AN$7="",0.5*$C$4,$AN$7)/$C$4))))</f>
        <v>1</v>
      </c>
      <c r="K129" s="98" t="n">
        <f aca="false">IF(OR($F129="Not covered",$F129="Child-only"),0,IF($F129="Full",1,IF($AD129="Y",$AE129,IF($F129="Ancillary",MAX(0.1,MIN(0.5,IF($AO$7="",0.5*$C$4,$AO$7)/$C$4)),MIN(0.5,IF($AO$7="",0.5*$C$4,$AO$7)/$C$4)))))</f>
        <v>1</v>
      </c>
      <c r="L129" s="98" t="n">
        <f aca="false">IF(OR($G129="Not covered",$G129="Child-only"),0,IF($G129="Full",1,IF($G129="Ancillary",MAX(0.1,MIN(0.5,IF($AS129&lt;&gt;"",$AS129,IF($AP$7="",0.5*$C$4,$AP$7))/$C$4)),MIN(0.5,IF($AS129&lt;&gt;"",$AS129,IF($AP$7="",0.5*$C$4,$AP$7))/$C$4))))</f>
        <v>1</v>
      </c>
      <c r="M129" s="98" t="n">
        <f aca="false">IF(OR($H129="Not covered",$H129="Child-only"),0,IF($H129="Full",1,IF($H129="Ancillary",MAX(0.1,MIN(0.5,IF($AM129&lt;&gt;"",$AM129,IF($AQ$7="",0.5*$C$4,$AQ$7))/$C$4)),MIN(0.5,IF($AM129&lt;&gt;"",$AM129,IF($AQ$7="",0.5*$C$4,$AQ$7))/$C$4))))</f>
        <v>1</v>
      </c>
      <c r="N129" s="98" t="n">
        <f aca="false">IF(OR($I129="Not covered",$I129="Child-only"),0,IF($I129="Full",1,IF($I129="Ancillary",MAX(0.1,MIN(0.5,IF($AR$7="",0.5*$C$4,$AR$7)/$C$4)),MIN(0.5,IF($AR$7="",0.5*$C$4,$AR$7)/$C$4))))</f>
        <v>1</v>
      </c>
      <c r="P129" s="1" t="str">
        <f aca="false">IF(O129="","",1-EXP(-O129/100000))</f>
        <v/>
      </c>
      <c r="R129" s="1" t="s">
        <v>822</v>
      </c>
      <c r="S129" s="1" t="str">
        <f aca="false">IF($P129="","",$P129*J129*$C$4*$C$5)</f>
        <v/>
      </c>
      <c r="T129" s="1" t="str">
        <f aca="false">IF($P129="","",$P129*K129*$C$4*$C$5)</f>
        <v/>
      </c>
      <c r="U129" s="1" t="str">
        <f aca="false">IF($P129="","",$P129*L129*$C$4*$C$5)</f>
        <v/>
      </c>
      <c r="V129" s="1" t="str">
        <f aca="false">IF($P129="","",$P129*M129*$C$4*$C$5)</f>
        <v/>
      </c>
      <c r="W129" s="1" t="str">
        <f aca="false">IF($P129="","",$P129*N129*$C$4*$C$5)</f>
        <v/>
      </c>
      <c r="X129" s="1" t="str">
        <f aca="false">IF(S129="","",S129/$E$7)</f>
        <v/>
      </c>
      <c r="Y129" s="1" t="str">
        <f aca="false">IF(T129="","",T129/$F$7)</f>
        <v/>
      </c>
      <c r="Z129" s="1" t="str">
        <f aca="false">IF(U129="","",U129/$G$7)</f>
        <v/>
      </c>
      <c r="AA129" s="1" t="str">
        <f aca="false">IF(V129="","",V129/$H$7)</f>
        <v/>
      </c>
      <c r="AB129" s="1" t="str">
        <f aca="false">IF(W129="","",W129/$I$7)</f>
        <v/>
      </c>
      <c r="AC129" s="1" t="str">
        <f aca="false">IF(COUNTIF(X129:AB129,"&gt;="&amp;$C$6)&gt;0,"PROMOTE","")</f>
        <v/>
      </c>
      <c r="AD129" s="1" t="str">
        <f aca="false">IF(COUNTIF(Sources_06!$B$33:$B$73,A129)&gt;0,"Y","")</f>
        <v/>
      </c>
      <c r="AE129" s="1" t="str">
        <f aca="false">IF(AD129="Y",MIN(0.5,Sources_06!$D$11/$C$4),"")</f>
        <v/>
      </c>
    </row>
    <row r="130" customFormat="false" ht="15" hidden="false" customHeight="true" outlineLevel="0" collapsed="false">
      <c r="A130" s="1" t="n">
        <v>127</v>
      </c>
      <c r="B130" s="1" t="str">
        <f aca="false">Wording_Ranks!B128</f>
        <v>Blindness – Permanent and Irreversible</v>
      </c>
      <c r="C130" s="1" t="str">
        <f aca="false">Wording_Ranks!C128</f>
        <v>Sensory</v>
      </c>
      <c r="D130" s="1" t="str">
        <f aca="false">Wording_Ranks!D128</f>
        <v>Low</v>
      </c>
      <c r="E130" s="1" t="str">
        <f aca="false">Wording_Ranks!F128</f>
        <v>Full</v>
      </c>
      <c r="F130" s="1" t="str">
        <f aca="false">Wording_Ranks!H128</f>
        <v>Full</v>
      </c>
      <c r="G130" s="1" t="str">
        <f aca="false">Wording_Ranks!J128</f>
        <v>Full</v>
      </c>
      <c r="H130" s="1" t="str">
        <f aca="false">Wording_Ranks!M128</f>
        <v>Full</v>
      </c>
      <c r="I130" s="1" t="str">
        <f aca="false">Wording_Ranks!O128</f>
        <v>Full</v>
      </c>
      <c r="J130" s="98" t="n">
        <f aca="false">IF(OR($E130="Not covered",$E130="Child-only"),0,IF($E130="Full",1,IF($E130="Ancillary",MAX(0.1,MIN(0.5,IF($AN$7="",0.5*$C$4,$AN$7)/$C$4)),MIN(0.5,IF($AN$7="",0.5*$C$4,$AN$7)/$C$4))))</f>
        <v>1</v>
      </c>
      <c r="K130" s="98" t="n">
        <f aca="false">IF(OR($F130="Not covered",$F130="Child-only"),0,IF($F130="Full",1,IF($AD130="Y",$AE130,IF($F130="Ancillary",MAX(0.1,MIN(0.5,IF($AO$7="",0.5*$C$4,$AO$7)/$C$4)),MIN(0.5,IF($AO$7="",0.5*$C$4,$AO$7)/$C$4)))))</f>
        <v>1</v>
      </c>
      <c r="L130" s="98" t="n">
        <f aca="false">IF(OR($G130="Not covered",$G130="Child-only"),0,IF($G130="Full",1,IF($G130="Ancillary",MAX(0.1,MIN(0.5,IF($AS130&lt;&gt;"",$AS130,IF($AP$7="",0.5*$C$4,$AP$7))/$C$4)),MIN(0.5,IF($AS130&lt;&gt;"",$AS130,IF($AP$7="",0.5*$C$4,$AP$7))/$C$4))))</f>
        <v>1</v>
      </c>
      <c r="M130" s="98" t="n">
        <f aca="false">IF(OR($H130="Not covered",$H130="Child-only"),0,IF($H130="Full",1,IF($H130="Ancillary",MAX(0.1,MIN(0.5,IF($AM130&lt;&gt;"",$AM130,IF($AQ$7="",0.5*$C$4,$AQ$7))/$C$4)),MIN(0.5,IF($AM130&lt;&gt;"",$AM130,IF($AQ$7="",0.5*$C$4,$AQ$7))/$C$4))))</f>
        <v>1</v>
      </c>
      <c r="N130" s="98" t="n">
        <f aca="false">IF(OR($I130="Not covered",$I130="Child-only"),0,IF($I130="Full",1,IF($I130="Ancillary",MAX(0.1,MIN(0.5,IF($AR$7="",0.5*$C$4,$AR$7)/$C$4)),MIN(0.5,IF($AR$7="",0.5*$C$4,$AR$7)/$C$4))))</f>
        <v>1</v>
      </c>
      <c r="P130" s="1" t="str">
        <f aca="false">IF(O130="","",1-EXP(-O130/100000))</f>
        <v/>
      </c>
      <c r="R130" s="1" t="s">
        <v>822</v>
      </c>
      <c r="S130" s="1" t="str">
        <f aca="false">IF($P130="","",$P130*J130*$C$4*$C$5)</f>
        <v/>
      </c>
      <c r="T130" s="1" t="str">
        <f aca="false">IF($P130="","",$P130*K130*$C$4*$C$5)</f>
        <v/>
      </c>
      <c r="U130" s="1" t="str">
        <f aca="false">IF($P130="","",$P130*L130*$C$4*$C$5)</f>
        <v/>
      </c>
      <c r="V130" s="1" t="str">
        <f aca="false">IF($P130="","",$P130*M130*$C$4*$C$5)</f>
        <v/>
      </c>
      <c r="W130" s="1" t="str">
        <f aca="false">IF($P130="","",$P130*N130*$C$4*$C$5)</f>
        <v/>
      </c>
      <c r="X130" s="1" t="str">
        <f aca="false">IF(S130="","",S130/$E$7)</f>
        <v/>
      </c>
      <c r="Y130" s="1" t="str">
        <f aca="false">IF(T130="","",T130/$F$7)</f>
        <v/>
      </c>
      <c r="Z130" s="1" t="str">
        <f aca="false">IF(U130="","",U130/$G$7)</f>
        <v/>
      </c>
      <c r="AA130" s="1" t="str">
        <f aca="false">IF(V130="","",V130/$H$7)</f>
        <v/>
      </c>
      <c r="AB130" s="1" t="str">
        <f aca="false">IF(W130="","",W130/$I$7)</f>
        <v/>
      </c>
      <c r="AC130" s="1" t="str">
        <f aca="false">IF(COUNTIF(X130:AB130,"&gt;="&amp;$C$6)&gt;0,"PROMOTE","")</f>
        <v/>
      </c>
      <c r="AD130" s="1" t="str">
        <f aca="false">IF(COUNTIF(Sources_06!$B$33:$B$73,A130)&gt;0,"Y","")</f>
        <v/>
      </c>
      <c r="AE130" s="1" t="str">
        <f aca="false">IF(AD130="Y",MIN(0.5,Sources_06!$D$11/$C$4),"")</f>
        <v/>
      </c>
    </row>
    <row r="131" customFormat="false" ht="15" hidden="false" customHeight="true" outlineLevel="0" collapsed="false">
      <c r="A131" s="1" t="n">
        <v>128</v>
      </c>
      <c r="B131" s="1" t="str">
        <f aca="false">Wording_Ranks!B129</f>
        <v>Deafness – Permanent and Irreversible</v>
      </c>
      <c r="C131" s="1" t="str">
        <f aca="false">Wording_Ranks!C129</f>
        <v>Sensory</v>
      </c>
      <c r="D131" s="1" t="str">
        <f aca="false">Wording_Ranks!D129</f>
        <v>Low</v>
      </c>
      <c r="E131" s="1" t="str">
        <f aca="false">Wording_Ranks!F129</f>
        <v>Full</v>
      </c>
      <c r="F131" s="1" t="str">
        <f aca="false">Wording_Ranks!H129</f>
        <v>Full</v>
      </c>
      <c r="G131" s="1" t="str">
        <f aca="false">Wording_Ranks!J129</f>
        <v>Full</v>
      </c>
      <c r="H131" s="1" t="str">
        <f aca="false">Wording_Ranks!M129</f>
        <v>Full</v>
      </c>
      <c r="I131" s="1" t="str">
        <f aca="false">Wording_Ranks!O129</f>
        <v>Full</v>
      </c>
      <c r="J131" s="98" t="n">
        <f aca="false">IF(OR($E131="Not covered",$E131="Child-only"),0,IF($E131="Full",1,IF($E131="Ancillary",MAX(0.1,MIN(0.5,IF($AN$7="",0.5*$C$4,$AN$7)/$C$4)),MIN(0.5,IF($AN$7="",0.5*$C$4,$AN$7)/$C$4))))</f>
        <v>1</v>
      </c>
      <c r="K131" s="98" t="n">
        <f aca="false">IF(OR($F131="Not covered",$F131="Child-only"),0,IF($F131="Full",1,IF($AD131="Y",$AE131,IF($F131="Ancillary",MAX(0.1,MIN(0.5,IF($AO$7="",0.5*$C$4,$AO$7)/$C$4)),MIN(0.5,IF($AO$7="",0.5*$C$4,$AO$7)/$C$4)))))</f>
        <v>1</v>
      </c>
      <c r="L131" s="98" t="n">
        <f aca="false">IF(OR($G131="Not covered",$G131="Child-only"),0,IF($G131="Full",1,IF($G131="Ancillary",MAX(0.1,MIN(0.5,IF($AS131&lt;&gt;"",$AS131,IF($AP$7="",0.5*$C$4,$AP$7))/$C$4)),MIN(0.5,IF($AS131&lt;&gt;"",$AS131,IF($AP$7="",0.5*$C$4,$AP$7))/$C$4))))</f>
        <v>1</v>
      </c>
      <c r="M131" s="98" t="n">
        <f aca="false">IF(OR($H131="Not covered",$H131="Child-only"),0,IF($H131="Full",1,IF($H131="Ancillary",MAX(0.1,MIN(0.5,IF($AM131&lt;&gt;"",$AM131,IF($AQ$7="",0.5*$C$4,$AQ$7))/$C$4)),MIN(0.5,IF($AM131&lt;&gt;"",$AM131,IF($AQ$7="",0.5*$C$4,$AQ$7))/$C$4))))</f>
        <v>1</v>
      </c>
      <c r="N131" s="98" t="n">
        <f aca="false">IF(OR($I131="Not covered",$I131="Child-only"),0,IF($I131="Full",1,IF($I131="Ancillary",MAX(0.1,MIN(0.5,IF($AR$7="",0.5*$C$4,$AR$7)/$C$4)),MIN(0.5,IF($AR$7="",0.5*$C$4,$AR$7)/$C$4))))</f>
        <v>1</v>
      </c>
      <c r="P131" s="1" t="str">
        <f aca="false">IF(O131="","",1-EXP(-O131/100000))</f>
        <v/>
      </c>
      <c r="R131" s="1" t="s">
        <v>822</v>
      </c>
      <c r="S131" s="1" t="str">
        <f aca="false">IF($P131="","",$P131*J131*$C$4*$C$5)</f>
        <v/>
      </c>
      <c r="T131" s="1" t="str">
        <f aca="false">IF($P131="","",$P131*K131*$C$4*$C$5)</f>
        <v/>
      </c>
      <c r="U131" s="1" t="str">
        <f aca="false">IF($P131="","",$P131*L131*$C$4*$C$5)</f>
        <v/>
      </c>
      <c r="V131" s="1" t="str">
        <f aca="false">IF($P131="","",$P131*M131*$C$4*$C$5)</f>
        <v/>
      </c>
      <c r="W131" s="1" t="str">
        <f aca="false">IF($P131="","",$P131*N131*$C$4*$C$5)</f>
        <v/>
      </c>
      <c r="X131" s="1" t="str">
        <f aca="false">IF(S131="","",S131/$E$7)</f>
        <v/>
      </c>
      <c r="Y131" s="1" t="str">
        <f aca="false">IF(T131="","",T131/$F$7)</f>
        <v/>
      </c>
      <c r="Z131" s="1" t="str">
        <f aca="false">IF(U131="","",U131/$G$7)</f>
        <v/>
      </c>
      <c r="AA131" s="1" t="str">
        <f aca="false">IF(V131="","",V131/$H$7)</f>
        <v/>
      </c>
      <c r="AB131" s="1" t="str">
        <f aca="false">IF(W131="","",W131/$I$7)</f>
        <v/>
      </c>
      <c r="AC131" s="1" t="str">
        <f aca="false">IF(COUNTIF(X131:AB131,"&gt;="&amp;$C$6)&gt;0,"PROMOTE","")</f>
        <v/>
      </c>
      <c r="AD131" s="1" t="str">
        <f aca="false">IF(COUNTIF(Sources_06!$B$33:$B$73,A131)&gt;0,"Y","")</f>
        <v/>
      </c>
      <c r="AE131" s="1" t="str">
        <f aca="false">IF(AD131="Y",MIN(0.5,Sources_06!$D$11/$C$4),"")</f>
        <v/>
      </c>
    </row>
    <row r="132" customFormat="false" ht="15" hidden="false" customHeight="true" outlineLevel="0" collapsed="false">
      <c r="A132" s="1" t="n">
        <v>129</v>
      </c>
      <c r="B132" s="1" t="str">
        <f aca="false">Wording_Ranks!B130</f>
        <v>Significant Visual Impairment – Permanent and Irreversible</v>
      </c>
      <c r="C132" s="1" t="str">
        <f aca="false">Wording_Ranks!C130</f>
        <v>Sensory</v>
      </c>
      <c r="D132" s="1" t="str">
        <f aca="false">Wording_Ranks!D130</f>
        <v>Low</v>
      </c>
      <c r="E132" s="1" t="str">
        <f aca="false">Wording_Ranks!F130</f>
        <v>Partial</v>
      </c>
      <c r="F132" s="1" t="str">
        <f aca="false">Wording_Ranks!H130</f>
        <v>Partial</v>
      </c>
      <c r="G132" s="1" t="str">
        <f aca="false">Wording_Ranks!J130</f>
        <v>Partial</v>
      </c>
      <c r="H132" s="1" t="str">
        <f aca="false">Wording_Ranks!M130</f>
        <v>Partial</v>
      </c>
      <c r="I132" s="1" t="str">
        <f aca="false">Wording_Ranks!O130</f>
        <v>Partial</v>
      </c>
      <c r="J132" s="98" t="n">
        <f aca="false">IF(OR($E132="Not covered",$E132="Child-only"),0,IF($E132="Full",1,IF($E132="Ancillary",MAX(0.1,MIN(0.5,IF($AN$7="",0.5*$C$4,$AN$7)/$C$4)),MIN(0.5,IF($AN$7="",0.5*$C$4,$AN$7)/$C$4))))</f>
        <v>0.124223602484472</v>
      </c>
      <c r="K132" s="98" t="n">
        <f aca="false">IF(OR($F132="Not covered",$F132="Child-only"),0,IF($F132="Full",1,IF($AD132="Y",$AE132,IF($F132="Ancillary",MAX(0.1,MIN(0.5,IF($AO$7="",0.5*$C$4,$AO$7)/$C$4)),MIN(0.5,IF($AO$7="",0.5*$C$4,$AO$7)/$C$4)))))</f>
        <v>0.093167701863354</v>
      </c>
      <c r="L132" s="98" t="n">
        <f aca="false">IF(OR($G132="Not covered",$G132="Child-only"),0,IF($G132="Full",1,IF($G132="Ancillary",MAX(0.1,MIN(0.5,IF($AS132&lt;&gt;"",$AS132,IF($AP$7="",0.5*$C$4,$AP$7))/$C$4)),MIN(0.5,IF($AS132&lt;&gt;"",$AS132,IF($AP$7="",0.5*$C$4,$AP$7))/$C$4))))</f>
        <v>0.093167701863354</v>
      </c>
      <c r="M132" s="98" t="n">
        <f aca="false">IF(OR($H132="Not covered",$H132="Child-only"),0,IF($H132="Full",1,IF($H132="Ancillary",MAX(0.1,MIN(0.5,IF($AM132&lt;&gt;"",$AM132,IF($AQ$7="",0.5*$C$4,$AQ$7))/$C$4)),MIN(0.5,IF($AM132&lt;&gt;"",$AM132,IF($AQ$7="",0.5*$C$4,$AQ$7))/$C$4))))</f>
        <v>0.093167701863354</v>
      </c>
      <c r="N132" s="98" t="n">
        <f aca="false">IF(OR($I132="Not covered",$I132="Child-only"),0,IF($I132="Full",1,IF($I132="Ancillary",MAX(0.1,MIN(0.5,IF($AR$7="",0.5*$C$4,$AR$7)/$C$4)),MIN(0.5,IF($AR$7="",0.5*$C$4,$AR$7)/$C$4))))</f>
        <v>0.093167701863354</v>
      </c>
      <c r="P132" s="1" t="str">
        <f aca="false">IF(O132="","",1-EXP(-O132/100000))</f>
        <v/>
      </c>
      <c r="R132" s="1" t="s">
        <v>822</v>
      </c>
      <c r="S132" s="1" t="str">
        <f aca="false">IF($P132="","",$P132*J132*$C$4*$C$5)</f>
        <v/>
      </c>
      <c r="T132" s="1" t="str">
        <f aca="false">IF($P132="","",$P132*K132*$C$4*$C$5)</f>
        <v/>
      </c>
      <c r="U132" s="1" t="str">
        <f aca="false">IF($P132="","",$P132*L132*$C$4*$C$5)</f>
        <v/>
      </c>
      <c r="V132" s="1" t="str">
        <f aca="false">IF($P132="","",$P132*M132*$C$4*$C$5)</f>
        <v/>
      </c>
      <c r="W132" s="1" t="str">
        <f aca="false">IF($P132="","",$P132*N132*$C$4*$C$5)</f>
        <v/>
      </c>
      <c r="X132" s="1" t="str">
        <f aca="false">IF(S132="","",S132/$E$7)</f>
        <v/>
      </c>
      <c r="Y132" s="1" t="str">
        <f aca="false">IF(T132="","",T132/$F$7)</f>
        <v/>
      </c>
      <c r="Z132" s="1" t="str">
        <f aca="false">IF(U132="","",U132/$G$7)</f>
        <v/>
      </c>
      <c r="AA132" s="1" t="str">
        <f aca="false">IF(V132="","",V132/$H$7)</f>
        <v/>
      </c>
      <c r="AB132" s="1" t="str">
        <f aca="false">IF(W132="","",W132/$I$7)</f>
        <v/>
      </c>
      <c r="AC132" s="1" t="str">
        <f aca="false">IF(COUNTIF(X132:AB132,"&gt;="&amp;$C$6)&gt;0,"PROMOTE","")</f>
        <v/>
      </c>
      <c r="AD132" s="1" t="str">
        <f aca="false">IF(COUNTIF(Sources_06!$B$33:$B$73,A132)&gt;0,"Y","")</f>
        <v>Y</v>
      </c>
      <c r="AE132" s="1" t="n">
        <f aca="false">IF(AD132="Y",MIN(0.5,Sources_06!$D$11/$C$4),"")</f>
        <v>0.093167701863354</v>
      </c>
    </row>
    <row r="133" customFormat="false" ht="15" hidden="false" customHeight="true" outlineLevel="0" collapsed="false">
      <c r="A133" s="1" t="n">
        <v>130</v>
      </c>
      <c r="B133" s="1" t="str">
        <f aca="false">Wording_Ranks!B131</f>
        <v>Surgical Removal of One Eye</v>
      </c>
      <c r="C133" s="1" t="str">
        <f aca="false">Wording_Ranks!C131</f>
        <v>Sensory</v>
      </c>
      <c r="D133" s="1" t="str">
        <f aca="false">Wording_Ranks!D131</f>
        <v>Rare</v>
      </c>
      <c r="E133" s="1" t="str">
        <f aca="false">Wording_Ranks!F131</f>
        <v>Partial</v>
      </c>
      <c r="F133" s="1" t="str">
        <f aca="false">Wording_Ranks!H131</f>
        <v>Partial</v>
      </c>
      <c r="G133" s="1" t="str">
        <f aca="false">Wording_Ranks!J131</f>
        <v>Partial</v>
      </c>
      <c r="H133" s="1" t="str">
        <f aca="false">Wording_Ranks!M131</f>
        <v>Partial</v>
      </c>
      <c r="I133" s="1" t="str">
        <f aca="false">Wording_Ranks!O131</f>
        <v>Partial</v>
      </c>
      <c r="J133" s="98" t="n">
        <f aca="false">IF(OR($E133="Not covered",$E133="Child-only"),0,IF($E133="Full",1,IF($E133="Ancillary",MAX(0.1,MIN(0.5,IF($AN$7="",0.5*$C$4,$AN$7)/$C$4)),MIN(0.5,IF($AN$7="",0.5*$C$4,$AN$7)/$C$4))))</f>
        <v>0.124223602484472</v>
      </c>
      <c r="K133" s="98" t="n">
        <f aca="false">IF(OR($F133="Not covered",$F133="Child-only"),0,IF($F133="Full",1,IF($AD133="Y",$AE133,IF($F133="Ancillary",MAX(0.1,MIN(0.5,IF($AO$7="",0.5*$C$4,$AO$7)/$C$4)),MIN(0.5,IF($AO$7="",0.5*$C$4,$AO$7)/$C$4)))))</f>
        <v>0.093167701863354</v>
      </c>
      <c r="L133" s="98" t="n">
        <f aca="false">IF(OR($G133="Not covered",$G133="Child-only"),0,IF($G133="Full",1,IF($G133="Ancillary",MAX(0.1,MIN(0.5,IF($AS133&lt;&gt;"",$AS133,IF($AP$7="",0.5*$C$4,$AP$7))/$C$4)),MIN(0.5,IF($AS133&lt;&gt;"",$AS133,IF($AP$7="",0.5*$C$4,$AP$7))/$C$4))))</f>
        <v>0.093167701863354</v>
      </c>
      <c r="M133" s="98" t="n">
        <f aca="false">IF(OR($H133="Not covered",$H133="Child-only"),0,IF($H133="Full",1,IF($H133="Ancillary",MAX(0.1,MIN(0.5,IF($AM133&lt;&gt;"",$AM133,IF($AQ$7="",0.5*$C$4,$AQ$7))/$C$4)),MIN(0.5,IF($AM133&lt;&gt;"",$AM133,IF($AQ$7="",0.5*$C$4,$AQ$7))/$C$4))))</f>
        <v>0.093167701863354</v>
      </c>
      <c r="N133" s="98" t="n">
        <f aca="false">IF(OR($I133="Not covered",$I133="Child-only"),0,IF($I133="Full",1,IF($I133="Ancillary",MAX(0.1,MIN(0.5,IF($AR$7="",0.5*$C$4,$AR$7)/$C$4)),MIN(0.5,IF($AR$7="",0.5*$C$4,$AR$7)/$C$4))))</f>
        <v>0.093167701863354</v>
      </c>
      <c r="O133" s="1" t="n">
        <f aca="false">IF(OR($AF$7="",$AG$7=""),"",MAX(AF133/$AF$7,AG133/$AG$7)*100000*IF(AI133="",1,AI133))</f>
        <v>1578.93271849209</v>
      </c>
      <c r="P133" s="1" t="n">
        <f aca="false">IF(O133="","",1-EXP(-O133/100000))</f>
        <v>0.0156653292309902</v>
      </c>
      <c r="Q133" s="1" t="s">
        <v>965</v>
      </c>
      <c r="R133" s="1" t="s">
        <v>1137</v>
      </c>
      <c r="S133" s="1" t="n">
        <f aca="false">IF($P133="","",$P133*J133*$C$4*$C$5)</f>
        <v>6140.94733624315</v>
      </c>
      <c r="T133" s="1" t="n">
        <f aca="false">IF($P133="","",$P133*K133*$C$4*$C$5)</f>
        <v>4605.71050218236</v>
      </c>
      <c r="U133" s="1" t="n">
        <f aca="false">IF($P133="","",$P133*L133*$C$4*$C$5)</f>
        <v>4605.71050218236</v>
      </c>
      <c r="V133" s="1" t="n">
        <f aca="false">IF($P133="","",$P133*M133*$C$4*$C$5)</f>
        <v>4605.71050218236</v>
      </c>
      <c r="W133" s="1" t="n">
        <f aca="false">IF($P133="","",$P133*N133*$C$4*$C$5)</f>
        <v>4605.71050218236</v>
      </c>
      <c r="X133" s="1" t="n">
        <f aca="false">IF(S133="","",S133/$E$7)</f>
        <v>0.382579332060407</v>
      </c>
      <c r="Y133" s="1" t="n">
        <f aca="false">IF(T133="","",T133/$F$7)</f>
        <v>0.420383604491988</v>
      </c>
      <c r="Z133" s="1" t="n">
        <f aca="false">IF(U133="","",U133/$G$7)</f>
        <v>0.761626595263148</v>
      </c>
      <c r="AA133" s="1" t="n">
        <f aca="false">IF(V133="","",V133/$H$7)</f>
        <v>0.323895053862376</v>
      </c>
      <c r="AB133" s="1" t="n">
        <f aca="false">IF(W133="","",W133/$I$7)</f>
        <v>0.305436286369175</v>
      </c>
      <c r="AC133" s="1" t="str">
        <f aca="false">IF(COUNTIF(X133:AB133,"&gt;="&amp;$C$6)&gt;0,"PROMOTE","")</f>
        <v>PROMOTE</v>
      </c>
      <c r="AD133" s="1" t="str">
        <f aca="false">IF(COUNTIF(Sources_06!$B$33:$B$73,A133)&gt;0,"Y","")</f>
        <v>Y</v>
      </c>
      <c r="AE133" s="1" t="n">
        <f aca="false">IF(AD133="Y",MIN(0.5,Sources_06!$D$11/$C$4),"")</f>
        <v>0.093167701863354</v>
      </c>
      <c r="AF133" s="1" t="n">
        <v>4876</v>
      </c>
      <c r="AG133" s="1" t="n">
        <v>20421</v>
      </c>
      <c r="AH133" s="1" t="s">
        <v>1176</v>
      </c>
      <c r="AJ133" s="1" t="s">
        <v>1177</v>
      </c>
    </row>
    <row r="134" customFormat="false" ht="15" hidden="false" customHeight="true" outlineLevel="0" collapsed="false">
      <c r="A134" s="1" t="n">
        <v>131</v>
      </c>
      <c r="B134" s="1" t="str">
        <f aca="false">Wording_Ranks!B132</f>
        <v>Loss of Speech – Permanent and Irreversible</v>
      </c>
      <c r="C134" s="1" t="str">
        <f aca="false">Wording_Ranks!C132</f>
        <v>Sensory / Neurological</v>
      </c>
      <c r="D134" s="1" t="str">
        <f aca="false">Wording_Ranks!D132</f>
        <v>Rare</v>
      </c>
      <c r="E134" s="1" t="str">
        <f aca="false">Wording_Ranks!F132</f>
        <v>Full</v>
      </c>
      <c r="F134" s="1" t="str">
        <f aca="false">Wording_Ranks!H132</f>
        <v>Full</v>
      </c>
      <c r="G134" s="1" t="str">
        <f aca="false">Wording_Ranks!J132</f>
        <v>Full</v>
      </c>
      <c r="H134" s="1" t="str">
        <f aca="false">Wording_Ranks!M132</f>
        <v>Full</v>
      </c>
      <c r="I134" s="1" t="str">
        <f aca="false">Wording_Ranks!O132</f>
        <v>Full</v>
      </c>
      <c r="J134" s="98" t="n">
        <f aca="false">IF(OR($E134="Not covered",$E134="Child-only"),0,IF($E134="Full",1,IF($E134="Ancillary",MAX(0.1,MIN(0.5,IF($AN$7="",0.5*$C$4,$AN$7)/$C$4)),MIN(0.5,IF($AN$7="",0.5*$C$4,$AN$7)/$C$4))))</f>
        <v>1</v>
      </c>
      <c r="K134" s="98" t="n">
        <f aca="false">IF(OR($F134="Not covered",$F134="Child-only"),0,IF($F134="Full",1,IF($AD134="Y",$AE134,IF($F134="Ancillary",MAX(0.1,MIN(0.5,IF($AO$7="",0.5*$C$4,$AO$7)/$C$4)),MIN(0.5,IF($AO$7="",0.5*$C$4,$AO$7)/$C$4)))))</f>
        <v>1</v>
      </c>
      <c r="L134" s="98" t="n">
        <f aca="false">IF(OR($G134="Not covered",$G134="Child-only"),0,IF($G134="Full",1,IF($G134="Ancillary",MAX(0.1,MIN(0.5,IF($AS134&lt;&gt;"",$AS134,IF($AP$7="",0.5*$C$4,$AP$7))/$C$4)),MIN(0.5,IF($AS134&lt;&gt;"",$AS134,IF($AP$7="",0.5*$C$4,$AP$7))/$C$4))))</f>
        <v>1</v>
      </c>
      <c r="M134" s="98" t="n">
        <f aca="false">IF(OR($H134="Not covered",$H134="Child-only"),0,IF($H134="Full",1,IF($H134="Ancillary",MAX(0.1,MIN(0.5,IF($AM134&lt;&gt;"",$AM134,IF($AQ$7="",0.5*$C$4,$AQ$7))/$C$4)),MIN(0.5,IF($AM134&lt;&gt;"",$AM134,IF($AQ$7="",0.5*$C$4,$AQ$7))/$C$4))))</f>
        <v>1</v>
      </c>
      <c r="N134" s="98" t="n">
        <f aca="false">IF(OR($I134="Not covered",$I134="Child-only"),0,IF($I134="Full",1,IF($I134="Ancillary",MAX(0.1,MIN(0.5,IF($AR$7="",0.5*$C$4,$AR$7)/$C$4)),MIN(0.5,IF($AR$7="",0.5*$C$4,$AR$7)/$C$4))))</f>
        <v>1</v>
      </c>
      <c r="P134" s="1" t="str">
        <f aca="false">IF(O134="","",1-EXP(-O134/100000))</f>
        <v/>
      </c>
      <c r="R134" s="1" t="s">
        <v>822</v>
      </c>
      <c r="S134" s="1" t="str">
        <f aca="false">IF($P134="","",$P134*J134*$C$4*$C$5)</f>
        <v/>
      </c>
      <c r="T134" s="1" t="str">
        <f aca="false">IF($P134="","",$P134*K134*$C$4*$C$5)</f>
        <v/>
      </c>
      <c r="U134" s="1" t="str">
        <f aca="false">IF($P134="","",$P134*L134*$C$4*$C$5)</f>
        <v/>
      </c>
      <c r="V134" s="1" t="str">
        <f aca="false">IF($P134="","",$P134*M134*$C$4*$C$5)</f>
        <v/>
      </c>
      <c r="W134" s="1" t="str">
        <f aca="false">IF($P134="","",$P134*N134*$C$4*$C$5)</f>
        <v/>
      </c>
      <c r="X134" s="1" t="str">
        <f aca="false">IF(S134="","",S134/$E$7)</f>
        <v/>
      </c>
      <c r="Y134" s="1" t="str">
        <f aca="false">IF(T134="","",T134/$F$7)</f>
        <v/>
      </c>
      <c r="Z134" s="1" t="str">
        <f aca="false">IF(U134="","",U134/$G$7)</f>
        <v/>
      </c>
      <c r="AA134" s="1" t="str">
        <f aca="false">IF(V134="","",V134/$H$7)</f>
        <v/>
      </c>
      <c r="AB134" s="1" t="str">
        <f aca="false">IF(W134="","",W134/$I$7)</f>
        <v/>
      </c>
      <c r="AC134" s="1" t="str">
        <f aca="false">IF(COUNTIF(X134:AB134,"&gt;="&amp;$C$6)&gt;0,"PROMOTE","")</f>
        <v/>
      </c>
      <c r="AD134" s="1" t="str">
        <f aca="false">IF(COUNTIF(Sources_06!$B$33:$B$73,A134)&gt;0,"Y","")</f>
        <v/>
      </c>
      <c r="AE134" s="1" t="str">
        <f aca="false">IF(AD134="Y",MIN(0.5,Sources_06!$D$11/$C$4),"")</f>
        <v/>
      </c>
    </row>
    <row r="135" customFormat="false" ht="15" hidden="false" customHeight="true" outlineLevel="0" collapsed="false">
      <c r="A135" s="1" t="n">
        <v>132</v>
      </c>
      <c r="B135" s="1" t="str">
        <f aca="false">Wording_Ranks!B133</f>
        <v>Donor Recipient Cover</v>
      </c>
      <c r="C135" s="1" t="str">
        <f aca="false">Wording_Ranks!C133</f>
        <v>Transplant</v>
      </c>
      <c r="D135" s="1" t="str">
        <f aca="false">Wording_Ranks!D133</f>
        <v>Rare</v>
      </c>
      <c r="E135" s="1" t="str">
        <f aca="false">Wording_Ranks!F133</f>
        <v>Not covered</v>
      </c>
      <c r="F135" s="1" t="str">
        <f aca="false">Wording_Ranks!H133</f>
        <v>Not covered</v>
      </c>
      <c r="G135" s="1" t="str">
        <f aca="false">Wording_Ranks!J133</f>
        <v>Not covered</v>
      </c>
      <c r="H135" s="1" t="str">
        <f aca="false">Wording_Ranks!M133</f>
        <v>Ancillary</v>
      </c>
      <c r="I135" s="1" t="str">
        <f aca="false">Wording_Ranks!O133</f>
        <v>Not covered</v>
      </c>
      <c r="J135" s="98" t="n">
        <f aca="false">IF(OR($E135="Not covered",$E135="Child-only"),0,IF($E135="Full",1,IF($E135="Ancillary",MAX(0.1,MIN(0.5,IF($AN$7="",0.5*$C$4,$AN$7)/$C$4)),MIN(0.5,IF($AN$7="",0.5*$C$4,$AN$7)/$C$4))))</f>
        <v>0</v>
      </c>
      <c r="K135" s="98" t="n">
        <f aca="false">IF(OR($F135="Not covered",$F135="Child-only"),0,IF($F135="Full",1,IF($AD135="Y",$AE135,IF($F135="Ancillary",MAX(0.1,MIN(0.5,IF($AO$7="",0.5*$C$4,$AO$7)/$C$4)),MIN(0.5,IF($AO$7="",0.5*$C$4,$AO$7)/$C$4)))))</f>
        <v>0</v>
      </c>
      <c r="L135" s="98" t="n">
        <f aca="false">IF(OR($G135="Not covered",$G135="Child-only"),0,IF($G135="Full",1,IF($G135="Ancillary",MAX(0.1,MIN(0.5,IF($AS135&lt;&gt;"",$AS135,IF($AP$7="",0.5*$C$4,$AP$7))/$C$4)),MIN(0.5,IF($AS135&lt;&gt;"",$AS135,IF($AP$7="",0.5*$C$4,$AP$7))/$C$4))))</f>
        <v>0</v>
      </c>
      <c r="M135" s="98" t="n">
        <f aca="false">IF(OR($H135="Not covered",$H135="Child-only"),0,IF($H135="Full",1,IF($H135="Ancillary",MAX(0.1,MIN(0.5,IF($AM135&lt;&gt;"",$AM135,IF($AQ$7="",0.5*$C$4,$AQ$7))/$C$4)),MIN(0.5,IF($AM135&lt;&gt;"",$AM135,IF($AQ$7="",0.5*$C$4,$AQ$7))/$C$4))))</f>
        <v>0.1</v>
      </c>
      <c r="N135" s="98" t="n">
        <f aca="false">IF(OR($I135="Not covered",$I135="Child-only"),0,IF($I135="Full",1,IF($I135="Ancillary",MAX(0.1,MIN(0.5,IF($AR$7="",0.5*$C$4,$AR$7)/$C$4)),MIN(0.5,IF($AR$7="",0.5*$C$4,$AR$7)/$C$4))))</f>
        <v>0</v>
      </c>
      <c r="P135" s="1" t="str">
        <f aca="false">IF(O135="","",1-EXP(-O135/100000))</f>
        <v/>
      </c>
      <c r="R135" s="1" t="s">
        <v>1136</v>
      </c>
      <c r="S135" s="1" t="str">
        <f aca="false">IF($P135="","",$P135*J135*$C$4*$C$5)</f>
        <v/>
      </c>
      <c r="T135" s="1" t="str">
        <f aca="false">IF($P135="","",$P135*K135*$C$4*$C$5)</f>
        <v/>
      </c>
      <c r="U135" s="1" t="str">
        <f aca="false">IF($P135="","",$P135*L135*$C$4*$C$5)</f>
        <v/>
      </c>
      <c r="V135" s="1" t="str">
        <f aca="false">IF($P135="","",$P135*M135*$C$4*$C$5)</f>
        <v/>
      </c>
      <c r="W135" s="1" t="str">
        <f aca="false">IF($P135="","",$P135*N135*$C$4*$C$5)</f>
        <v/>
      </c>
      <c r="X135" s="1" t="str">
        <f aca="false">IF(S135="","",S135/$E$7)</f>
        <v/>
      </c>
      <c r="Y135" s="1" t="str">
        <f aca="false">IF(T135="","",T135/$F$7)</f>
        <v/>
      </c>
      <c r="Z135" s="1" t="str">
        <f aca="false">IF(U135="","",U135/$G$7)</f>
        <v/>
      </c>
      <c r="AA135" s="1" t="str">
        <f aca="false">IF(V135="","",V135/$H$7)</f>
        <v/>
      </c>
      <c r="AB135" s="1" t="str">
        <f aca="false">IF(W135="","",W135/$I$7)</f>
        <v/>
      </c>
      <c r="AC135" s="1" t="str">
        <f aca="false">IF(COUNTIF(X135:AB135,"&gt;="&amp;$C$6)&gt;0,"PROMOTE","")</f>
        <v/>
      </c>
      <c r="AD135" s="1" t="str">
        <f aca="false">IF(COUNTIF(Sources_06!$B$33:$B$73,A135)&gt;0,"Y","")</f>
        <v/>
      </c>
      <c r="AE135" s="1" t="str">
        <f aca="false">IF(AD135="Y",MIN(0.5,Sources_06!$D$11/$C$4),"")</f>
        <v/>
      </c>
    </row>
    <row r="136" customFormat="false" ht="15" hidden="false" customHeight="true" outlineLevel="0" collapsed="false">
      <c r="A136" s="1" t="n">
        <v>133</v>
      </c>
      <c r="B136" s="1" t="str">
        <f aca="false">Wording_Ranks!B134</f>
        <v>Major Organ Transplant</v>
      </c>
      <c r="C136" s="1" t="str">
        <f aca="false">Wording_Ranks!C134</f>
        <v>Transplant</v>
      </c>
      <c r="D136" s="1" t="str">
        <f aca="false">Wording_Ranks!D134</f>
        <v>Low</v>
      </c>
      <c r="E136" s="1" t="str">
        <f aca="false">Wording_Ranks!F134</f>
        <v>Full</v>
      </c>
      <c r="F136" s="1" t="str">
        <f aca="false">Wording_Ranks!H134</f>
        <v>Full</v>
      </c>
      <c r="G136" s="1" t="str">
        <f aca="false">Wording_Ranks!J134</f>
        <v>Full</v>
      </c>
      <c r="H136" s="1" t="str">
        <f aca="false">Wording_Ranks!M134</f>
        <v>Full</v>
      </c>
      <c r="I136" s="1" t="str">
        <f aca="false">Wording_Ranks!O134</f>
        <v>Full</v>
      </c>
      <c r="J136" s="98" t="n">
        <f aca="false">IF(OR($E136="Not covered",$E136="Child-only"),0,IF($E136="Full",1,IF($E136="Ancillary",MAX(0.1,MIN(0.5,IF($AN$7="",0.5*$C$4,$AN$7)/$C$4)),MIN(0.5,IF($AN$7="",0.5*$C$4,$AN$7)/$C$4))))</f>
        <v>1</v>
      </c>
      <c r="K136" s="98" t="n">
        <f aca="false">IF(OR($F136="Not covered",$F136="Child-only"),0,IF($F136="Full",1,IF($AD136="Y",$AE136,IF($F136="Ancillary",MAX(0.1,MIN(0.5,IF($AO$7="",0.5*$C$4,$AO$7)/$C$4)),MIN(0.5,IF($AO$7="",0.5*$C$4,$AO$7)/$C$4)))))</f>
        <v>1</v>
      </c>
      <c r="L136" s="98" t="n">
        <f aca="false">IF(OR($G136="Not covered",$G136="Child-only"),0,IF($G136="Full",1,IF($G136="Ancillary",MAX(0.1,MIN(0.5,IF($AS136&lt;&gt;"",$AS136,IF($AP$7="",0.5*$C$4,$AP$7))/$C$4)),MIN(0.5,IF($AS136&lt;&gt;"",$AS136,IF($AP$7="",0.5*$C$4,$AP$7))/$C$4))))</f>
        <v>1</v>
      </c>
      <c r="M136" s="98" t="n">
        <f aca="false">IF(OR($H136="Not covered",$H136="Child-only"),0,IF($H136="Full",1,IF($H136="Ancillary",MAX(0.1,MIN(0.5,IF($AM136&lt;&gt;"",$AM136,IF($AQ$7="",0.5*$C$4,$AQ$7))/$C$4)),MIN(0.5,IF($AM136&lt;&gt;"",$AM136,IF($AQ$7="",0.5*$C$4,$AQ$7))/$C$4))))</f>
        <v>1</v>
      </c>
      <c r="N136" s="98" t="n">
        <f aca="false">IF(OR($I136="Not covered",$I136="Child-only"),0,IF($I136="Full",1,IF($I136="Ancillary",MAX(0.1,MIN(0.5,IF($AR$7="",0.5*$C$4,$AR$7)/$C$4)),MIN(0.5,IF($AR$7="",0.5*$C$4,$AR$7)/$C$4))))</f>
        <v>1</v>
      </c>
      <c r="P136" s="1" t="str">
        <f aca="false">IF(O136="","",1-EXP(-O136/100000))</f>
        <v/>
      </c>
      <c r="R136" s="1" t="s">
        <v>822</v>
      </c>
      <c r="S136" s="1" t="str">
        <f aca="false">IF($P136="","",$P136*J136*$C$4*$C$5)</f>
        <v/>
      </c>
      <c r="T136" s="1" t="str">
        <f aca="false">IF($P136="","",$P136*K136*$C$4*$C$5)</f>
        <v/>
      </c>
      <c r="U136" s="1" t="str">
        <f aca="false">IF($P136="","",$P136*L136*$C$4*$C$5)</f>
        <v/>
      </c>
      <c r="V136" s="1" t="str">
        <f aca="false">IF($P136="","",$P136*M136*$C$4*$C$5)</f>
        <v/>
      </c>
      <c r="W136" s="1" t="str">
        <f aca="false">IF($P136="","",$P136*N136*$C$4*$C$5)</f>
        <v/>
      </c>
      <c r="X136" s="1" t="str">
        <f aca="false">IF(S136="","",S136/$E$7)</f>
        <v/>
      </c>
      <c r="Y136" s="1" t="str">
        <f aca="false">IF(T136="","",T136/$F$7)</f>
        <v/>
      </c>
      <c r="Z136" s="1" t="str">
        <f aca="false">IF(U136="","",U136/$G$7)</f>
        <v/>
      </c>
      <c r="AA136" s="1" t="str">
        <f aca="false">IF(V136="","",V136/$H$7)</f>
        <v/>
      </c>
      <c r="AB136" s="1" t="str">
        <f aca="false">IF(W136="","",W136/$I$7)</f>
        <v/>
      </c>
      <c r="AC136" s="1" t="str">
        <f aca="false">IF(COUNTIF(X136:AB136,"&gt;="&amp;$C$6)&gt;0,"PROMOTE","")</f>
        <v/>
      </c>
      <c r="AD136" s="1" t="str">
        <f aca="false">IF(COUNTIF(Sources_06!$B$33:$B$73,A136)&gt;0,"Y","")</f>
        <v/>
      </c>
      <c r="AE136" s="1" t="str">
        <f aca="false">IF(AD136="Y",MIN(0.5,Sources_06!$D$11/$C$4),"")</f>
        <v/>
      </c>
    </row>
    <row r="137" customFormat="false" ht="15" hidden="false" customHeight="true" outlineLevel="0" collapsed="false">
      <c r="A137" s="1" t="n">
        <v>134</v>
      </c>
      <c r="B137" s="1" t="str">
        <f aca="false">Wording_Ranks!B135</f>
        <v>Third-Degree Burns – Major (&gt;=20% body / 50% face)</v>
      </c>
      <c r="C137" s="1" t="str">
        <f aca="false">Wording_Ranks!C135</f>
        <v>Trauma / Burns</v>
      </c>
      <c r="D137" s="1" t="str">
        <f aca="false">Wording_Ranks!D135</f>
        <v>Rare</v>
      </c>
      <c r="E137" s="1" t="str">
        <f aca="false">Wording_Ranks!F135</f>
        <v>Full</v>
      </c>
      <c r="F137" s="1" t="str">
        <f aca="false">Wording_Ranks!H135</f>
        <v>Full</v>
      </c>
      <c r="G137" s="1" t="str">
        <f aca="false">Wording_Ranks!J135</f>
        <v>Full</v>
      </c>
      <c r="H137" s="1" t="str">
        <f aca="false">Wording_Ranks!M135</f>
        <v>Full</v>
      </c>
      <c r="I137" s="1" t="str">
        <f aca="false">Wording_Ranks!O135</f>
        <v>Full</v>
      </c>
      <c r="J137" s="98" t="n">
        <f aca="false">IF(OR($E137="Not covered",$E137="Child-only"),0,IF($E137="Full",1,IF($E137="Ancillary",MAX(0.1,MIN(0.5,IF($AN$7="",0.5*$C$4,$AN$7)/$C$4)),MIN(0.5,IF($AN$7="",0.5*$C$4,$AN$7)/$C$4))))</f>
        <v>1</v>
      </c>
      <c r="K137" s="98" t="n">
        <f aca="false">IF(OR($F137="Not covered",$F137="Child-only"),0,IF($F137="Full",1,IF($AD137="Y",$AE137,IF($F137="Ancillary",MAX(0.1,MIN(0.5,IF($AO$7="",0.5*$C$4,$AO$7)/$C$4)),MIN(0.5,IF($AO$7="",0.5*$C$4,$AO$7)/$C$4)))))</f>
        <v>1</v>
      </c>
      <c r="L137" s="98" t="n">
        <f aca="false">IF(OR($G137="Not covered",$G137="Child-only"),0,IF($G137="Full",1,IF($G137="Ancillary",MAX(0.1,MIN(0.5,IF($AS137&lt;&gt;"",$AS137,IF($AP$7="",0.5*$C$4,$AP$7))/$C$4)),MIN(0.5,IF($AS137&lt;&gt;"",$AS137,IF($AP$7="",0.5*$C$4,$AP$7))/$C$4))))</f>
        <v>1</v>
      </c>
      <c r="M137" s="98" t="n">
        <f aca="false">IF(OR($H137="Not covered",$H137="Child-only"),0,IF($H137="Full",1,IF($H137="Ancillary",MAX(0.1,MIN(0.5,IF($AM137&lt;&gt;"",$AM137,IF($AQ$7="",0.5*$C$4,$AQ$7))/$C$4)),MIN(0.5,IF($AM137&lt;&gt;"",$AM137,IF($AQ$7="",0.5*$C$4,$AQ$7))/$C$4))))</f>
        <v>1</v>
      </c>
      <c r="N137" s="98" t="n">
        <f aca="false">IF(OR($I137="Not covered",$I137="Child-only"),0,IF($I137="Full",1,IF($I137="Ancillary",MAX(0.1,MIN(0.5,IF($AR$7="",0.5*$C$4,$AR$7)/$C$4)),MIN(0.5,IF($AR$7="",0.5*$C$4,$AR$7)/$C$4))))</f>
        <v>1</v>
      </c>
      <c r="P137" s="1" t="str">
        <f aca="false">IF(O137="","",1-EXP(-O137/100000))</f>
        <v/>
      </c>
      <c r="R137" s="1" t="s">
        <v>822</v>
      </c>
      <c r="S137" s="1" t="str">
        <f aca="false">IF($P137="","",$P137*J137*$C$4*$C$5)</f>
        <v/>
      </c>
      <c r="T137" s="1" t="str">
        <f aca="false">IF($P137="","",$P137*K137*$C$4*$C$5)</f>
        <v/>
      </c>
      <c r="U137" s="1" t="str">
        <f aca="false">IF($P137="","",$P137*L137*$C$4*$C$5)</f>
        <v/>
      </c>
      <c r="V137" s="1" t="str">
        <f aca="false">IF($P137="","",$P137*M137*$C$4*$C$5)</f>
        <v/>
      </c>
      <c r="W137" s="1" t="str">
        <f aca="false">IF($P137="","",$P137*N137*$C$4*$C$5)</f>
        <v/>
      </c>
      <c r="X137" s="1" t="str">
        <f aca="false">IF(S137="","",S137/$E$7)</f>
        <v/>
      </c>
      <c r="Y137" s="1" t="str">
        <f aca="false">IF(T137="","",T137/$F$7)</f>
        <v/>
      </c>
      <c r="Z137" s="1" t="str">
        <f aca="false">IF(U137="","",U137/$G$7)</f>
        <v/>
      </c>
      <c r="AA137" s="1" t="str">
        <f aca="false">IF(V137="","",V137/$H$7)</f>
        <v/>
      </c>
      <c r="AB137" s="1" t="str">
        <f aca="false">IF(W137="","",W137/$I$7)</f>
        <v/>
      </c>
      <c r="AC137" s="1" t="str">
        <f aca="false">IF(COUNTIF(X137:AB137,"&gt;="&amp;$C$6)&gt;0,"PROMOTE","")</f>
        <v/>
      </c>
      <c r="AD137" s="1" t="str">
        <f aca="false">IF(COUNTIF(Sources_06!$B$33:$B$73,A137)&gt;0,"Y","")</f>
        <v>Y</v>
      </c>
      <c r="AE137" s="1"/>
    </row>
    <row r="138" customFormat="false" ht="15" hidden="false" customHeight="true" outlineLevel="0" collapsed="false">
      <c r="A138" s="1" t="n">
        <v>135</v>
      </c>
      <c r="B138" s="1" t="str">
        <f aca="false">Wording_Ranks!B136</f>
        <v>Cystectomy – Complete Removal of the Urinary Bladder</v>
      </c>
      <c r="C138" s="1" t="str">
        <f aca="false">Wording_Ranks!C136</f>
        <v>Urological / Surgery</v>
      </c>
      <c r="D138" s="1" t="str">
        <f aca="false">Wording_Ranks!D136</f>
        <v>Rare</v>
      </c>
      <c r="E138" s="1" t="str">
        <f aca="false">Wording_Ranks!F136</f>
        <v>Partial</v>
      </c>
      <c r="F138" s="1" t="str">
        <f aca="false">Wording_Ranks!H136</f>
        <v>Partial</v>
      </c>
      <c r="G138" s="1" t="str">
        <f aca="false">Wording_Ranks!J136</f>
        <v>Partial</v>
      </c>
      <c r="H138" s="1" t="str">
        <f aca="false">Wording_Ranks!M136</f>
        <v>Partial</v>
      </c>
      <c r="I138" s="1" t="str">
        <f aca="false">Wording_Ranks!O136</f>
        <v>Partial</v>
      </c>
      <c r="J138" s="98" t="n">
        <f aca="false">IF(OR($E138="Not covered",$E138="Child-only"),0,IF($E138="Full",1,IF($E138="Ancillary",MAX(0.1,MIN(0.5,IF($AN$7="",0.5*$C$4,$AN$7)/$C$4)),MIN(0.5,IF($AN$7="",0.5*$C$4,$AN$7)/$C$4))))</f>
        <v>0.124223602484472</v>
      </c>
      <c r="K138" s="98" t="n">
        <f aca="false">IF(OR($F138="Not covered",$F138="Child-only"),0,IF($F138="Full",1,IF($AD138="Y",$AE138,IF($F138="Ancillary",MAX(0.1,MIN(0.5,IF($AO$7="",0.5*$C$4,$AO$7)/$C$4)),MIN(0.5,IF($AO$7="",0.5*$C$4,$AO$7)/$C$4)))))</f>
        <v>0.093167701863354</v>
      </c>
      <c r="L138" s="98" t="n">
        <f aca="false">IF(OR($G138="Not covered",$G138="Child-only"),0,IF($G138="Full",1,IF($G138="Ancillary",MAX(0.1,MIN(0.5,IF($AS138&lt;&gt;"",$AS138,IF($AP$7="",0.5*$C$4,$AP$7))/$C$4)),MIN(0.5,IF($AS138&lt;&gt;"",$AS138,IF($AP$7="",0.5*$C$4,$AP$7))/$C$4))))</f>
        <v>0.093167701863354</v>
      </c>
      <c r="M138" s="98" t="n">
        <f aca="false">IF(OR($H138="Not covered",$H138="Child-only"),0,IF($H138="Full",1,IF($H138="Ancillary",MAX(0.1,MIN(0.5,IF($AM138&lt;&gt;"",$AM138,IF($AQ$7="",0.5*$C$4,$AQ$7))/$C$4)),MIN(0.5,IF($AM138&lt;&gt;"",$AM138,IF($AQ$7="",0.5*$C$4,$AQ$7))/$C$4))))</f>
        <v>0.093167701863354</v>
      </c>
      <c r="N138" s="98" t="n">
        <f aca="false">IF(OR($I138="Not covered",$I138="Child-only"),0,IF($I138="Full",1,IF($I138="Ancillary",MAX(0.1,MIN(0.5,IF($AR$7="",0.5*$C$4,$AR$7)/$C$4)),MIN(0.5,IF($AR$7="",0.5*$C$4,$AR$7)/$C$4))))</f>
        <v>0.093167701863354</v>
      </c>
      <c r="O138" s="1" t="n">
        <f aca="false">IF(OR($AF$7="",$AG$7=""),"",MAX(AF138/$AF$7,AG138/$AG$7)*100000*IF(AI138="",1,AI138))</f>
        <v>6427.07033406477</v>
      </c>
      <c r="P138" s="1" t="n">
        <f aca="false">IF(O138="","",1-EXP(-O138/100000))</f>
        <v>0.0622488871906455</v>
      </c>
      <c r="Q138" s="1" t="s">
        <v>965</v>
      </c>
      <c r="R138" s="1" t="s">
        <v>1137</v>
      </c>
      <c r="S138" s="1" t="n">
        <f aca="false">IF($P138="","",$P138*J138*$C$4*$C$5)</f>
        <v>24402.1132490001</v>
      </c>
      <c r="T138" s="1" t="n">
        <f aca="false">IF($P138="","",$P138*K138*$C$4*$C$5)</f>
        <v>18301.5849367501</v>
      </c>
      <c r="U138" s="1" t="n">
        <f aca="false">IF($P138="","",$P138*L138*$C$4*$C$5)</f>
        <v>18301.5849367501</v>
      </c>
      <c r="V138" s="1" t="n">
        <f aca="false">IF($P138="","",$P138*M138*$C$4*$C$5)</f>
        <v>18301.5849367501</v>
      </c>
      <c r="W138" s="1" t="n">
        <f aca="false">IF($P138="","",$P138*N138*$C$4*$C$5)</f>
        <v>18301.5849367501</v>
      </c>
      <c r="X138" s="1" t="n">
        <f aca="false">IF(S138="","",S138/$E$7)</f>
        <v>1.52024495187679</v>
      </c>
      <c r="Y138" s="1" t="n">
        <f aca="false">IF(T138="","",T138/$F$7)</f>
        <v>1.6704667477432</v>
      </c>
      <c r="Z138" s="1" t="n">
        <f aca="false">IF(U138="","",U138/$G$7)</f>
        <v>3.02645461904118</v>
      </c>
      <c r="AA138" s="1" t="n">
        <f aca="false">IF(V138="","",V138/$H$7)</f>
        <v>1.28705285233336</v>
      </c>
      <c r="AB138" s="1" t="n">
        <f aca="false">IF(W138="","",W138/$I$7)</f>
        <v>1.21370375647845</v>
      </c>
      <c r="AC138" s="1" t="str">
        <f aca="false">IF(COUNTIF(X138:AB138,"&gt;="&amp;$C$6)&gt;0,"PROMOTE","")</f>
        <v>PROMOTE</v>
      </c>
      <c r="AD138" s="1" t="str">
        <f aca="false">IF(COUNTIF(Sources_06!$B$33:$B$73,A138)&gt;0,"Y","")</f>
        <v>Y</v>
      </c>
      <c r="AE138" s="1" t="n">
        <f aca="false">IF(AD138="Y",MIN(0.5,Sources_06!$D$11/$C$4),"")</f>
        <v>0.093167701863354</v>
      </c>
      <c r="AF138" s="1" t="n">
        <v>37981</v>
      </c>
      <c r="AG138" s="1" t="n">
        <v>83124</v>
      </c>
      <c r="AH138" s="1" t="s">
        <v>1178</v>
      </c>
      <c r="AJ138" s="1" t="s">
        <v>1179</v>
      </c>
    </row>
    <row r="140" customFormat="false" ht="15" hidden="false" customHeight="true" outlineLevel="0" collapsed="false">
      <c r="B140" s="1" t="s">
        <v>1180</v>
      </c>
      <c r="C140" s="1" t="n">
        <f aca="false">COUNTIF(R10:R138,"GAP")</f>
        <v>57</v>
      </c>
    </row>
    <row r="141" customFormat="false" ht="15" hidden="false" customHeight="true" outlineLevel="0" collapsed="false">
      <c r="B141" s="1" t="s">
        <v>1181</v>
      </c>
      <c r="C141" s="1" t="n">
        <f aca="false">COUNTIF(R10:R138,"EXCLUDED")</f>
        <v>20</v>
      </c>
    </row>
    <row r="142" customFormat="false" ht="15" hidden="false" customHeight="true" outlineLevel="0" collapsed="false">
      <c r="B142" s="1" t="s">
        <v>1182</v>
      </c>
      <c r="C142" s="1" t="n">
        <f aca="false">COUNTIF(AC10:AC138,"PROMOTE")</f>
        <v>51</v>
      </c>
      <c r="D142" s="1" t="s">
        <v>1183</v>
      </c>
    </row>
    <row r="143" customFormat="false" ht="15" hidden="false" customHeight="true" outlineLevel="0" collapsed="false">
      <c r="B143" s="1" t="s">
        <v>1184</v>
      </c>
      <c r="E143" s="1" t="n">
        <f aca="false">SUM(S10:S138)</f>
        <v>721109.015100706</v>
      </c>
      <c r="F143" s="1" t="n">
        <f aca="false">SUM(T10:T138)</f>
        <v>607775.699921149</v>
      </c>
      <c r="G143" s="1" t="n">
        <f aca="false">SUM(U10:U138)</f>
        <v>783515.070667086</v>
      </c>
      <c r="H143" s="1" t="n">
        <f aca="false">SUM(V10:V138)</f>
        <v>811535.791856201</v>
      </c>
      <c r="I143" s="1" t="n">
        <f aca="false">SUM(W10:W138)</f>
        <v>692129.250501105</v>
      </c>
    </row>
    <row r="144" customFormat="false" ht="15" hidden="false" customHeight="true" outlineLevel="0" collapsed="false">
      <c r="B144" s="1" t="s">
        <v>1185</v>
      </c>
      <c r="E144" s="1" t="n">
        <f aca="false">E143/$E$7</f>
        <v>44.924893543989</v>
      </c>
      <c r="F144" s="1" t="n">
        <f aca="false">F143/$F$7</f>
        <v>55.4743810611692</v>
      </c>
      <c r="G144" s="1" t="n">
        <f aca="false">G143/$G$7</f>
        <v>129.566527320112</v>
      </c>
      <c r="H144" s="1" t="n">
        <f aca="false">H143/$H$7</f>
        <v>57.0709837038088</v>
      </c>
      <c r="I144" s="1" t="n">
        <f aca="false">I143/$I$7</f>
        <v>45.8998427843799</v>
      </c>
    </row>
    <row r="147" customFormat="false" ht="15" hidden="false" customHeight="true" outlineLevel="0" collapsed="false">
      <c r="B147" s="1" t="s">
        <v>1186</v>
      </c>
    </row>
    <row r="148" customFormat="false" ht="15" hidden="false" customHeight="true" outlineLevel="0" collapsed="false">
      <c r="B148" s="1" t="s">
        <v>1187</v>
      </c>
      <c r="J148" s="1" t="s">
        <v>1188</v>
      </c>
      <c r="K148" s="1" t="s">
        <v>1189</v>
      </c>
      <c r="L148" s="1" t="s">
        <v>1190</v>
      </c>
      <c r="M148" s="1" t="s">
        <v>1191</v>
      </c>
      <c r="N148" s="1" t="s">
        <v>1192</v>
      </c>
      <c r="O148" s="1" t="s">
        <v>1193</v>
      </c>
      <c r="P148" s="1" t="s">
        <v>1111</v>
      </c>
      <c r="S148" s="1" t="s">
        <v>1113</v>
      </c>
      <c r="T148" s="1" t="s">
        <v>1114</v>
      </c>
      <c r="U148" s="1" t="s">
        <v>1115</v>
      </c>
      <c r="V148" s="1" t="s">
        <v>1116</v>
      </c>
      <c r="W148" s="1" t="s">
        <v>1117</v>
      </c>
    </row>
    <row r="149" customFormat="false" ht="15" hidden="false" customHeight="true" outlineLevel="0" collapsed="false">
      <c r="B149" s="1" t="s">
        <v>1194</v>
      </c>
      <c r="J149" s="1" t="n">
        <f aca="false">MAX(J19,J20,J21,J22,J24,J31,J32,J34,J35,J36,J38,J39,J40,J41,J82,J87,J91)</f>
        <v>1</v>
      </c>
      <c r="K149" s="1" t="n">
        <f aca="false">MAX(K19,K20,K21,K22,K24,K31,K32,K34,K35,K36,K38,K39,K40,K41,K82,K87,K91)</f>
        <v>1</v>
      </c>
      <c r="L149" s="1" t="n">
        <f aca="false">MAX(L19,L20,L21,L22,L24,L31,L32,L34,L35,L36,L38,L39,L40,L41,L82,L87,L91)</f>
        <v>1</v>
      </c>
      <c r="M149" s="1" t="n">
        <f aca="false">MAX(M19,M20,M21,M22,M24,M31,M32,M34,M35,M36,M38,M39,M40,M41,M82,M87,M91)</f>
        <v>1</v>
      </c>
      <c r="N149" s="1" t="n">
        <f aca="false">MAX(N19,N20,N21,N22,N24,N31,N32,N34,N35,N36,N38,N39,N40,N41,N82,N87,N91)</f>
        <v>1</v>
      </c>
      <c r="O149" s="1" t="n">
        <f aca="false">MAX((AF19+AF91)/$AF$7,(AG19+AG91)/$AG$7)*100000</f>
        <v>4128.29707842164</v>
      </c>
      <c r="P149" s="1" t="n">
        <f aca="false">IF(O149="","",1-EXP(-O149/100000))</f>
        <v>0.0404424352294985</v>
      </c>
      <c r="S149" s="1" t="n">
        <f aca="false">$P149*J149*$C$4*$C$5</f>
        <v>127623.022339028</v>
      </c>
      <c r="T149" s="1" t="n">
        <f aca="false">$P149*K149*$C$4*$C$5</f>
        <v>127623.022339028</v>
      </c>
      <c r="U149" s="1" t="n">
        <f aca="false">$P149*L149*$C$4*$C$5</f>
        <v>127623.022339028</v>
      </c>
      <c r="V149" s="1" t="n">
        <f aca="false">$P149*M149*$C$4*$C$5</f>
        <v>127623.022339028</v>
      </c>
      <c r="W149" s="1" t="n">
        <f aca="false">$P149*N149*$C$4*$C$5</f>
        <v>127623.022339028</v>
      </c>
    </row>
    <row r="150" customFormat="false" ht="15" hidden="false" customHeight="true" outlineLevel="0" collapsed="false">
      <c r="B150" s="1" t="s">
        <v>1195</v>
      </c>
      <c r="J150" s="1" t="n">
        <f aca="false">MAX(J64)</f>
        <v>0.124223602484472</v>
      </c>
      <c r="K150" s="1" t="n">
        <f aca="false">MAX(K64)</f>
        <v>0.093167701863354</v>
      </c>
      <c r="L150" s="1" t="n">
        <f aca="false">MAX(L64)</f>
        <v>0.093167701863354</v>
      </c>
      <c r="M150" s="1" t="n">
        <f aca="false">MAX(M64)</f>
        <v>0.093167701863354</v>
      </c>
      <c r="N150" s="1" t="n">
        <f aca="false">MAX(N64)</f>
        <v>0.093167701863354</v>
      </c>
      <c r="O150" s="1" t="n">
        <f aca="false">O64</f>
        <v>7674.53620156154</v>
      </c>
      <c r="P150" s="1" t="n">
        <f aca="false">IF(O150="","",1-EXP(-O150/100000))</f>
        <v>0.0738743496472901</v>
      </c>
      <c r="S150" s="1" t="n">
        <f aca="false">$P150*J150*$C$4*$C$5</f>
        <v>28959.3971498387</v>
      </c>
      <c r="T150" s="1" t="n">
        <f aca="false">$P150*K150*$C$4*$C$5</f>
        <v>21719.547862379</v>
      </c>
      <c r="U150" s="1" t="n">
        <f aca="false">$P150*L150*$C$4*$C$5</f>
        <v>21719.547862379</v>
      </c>
      <c r="V150" s="1" t="n">
        <f aca="false">$P150*M150*$C$4*$C$5</f>
        <v>21719.547862379</v>
      </c>
      <c r="W150" s="1" t="n">
        <f aca="false">$P150*N150*$C$4*$C$5</f>
        <v>21719.547862379</v>
      </c>
    </row>
    <row r="151" customFormat="false" ht="15" hidden="false" customHeight="true" outlineLevel="0" collapsed="false">
      <c r="B151" s="1" t="s">
        <v>1196</v>
      </c>
      <c r="J151" s="1" t="n">
        <f aca="false">MAX(J58,J60)</f>
        <v>1</v>
      </c>
      <c r="K151" s="1" t="n">
        <f aca="false">MAX(K58,K60)</f>
        <v>1</v>
      </c>
      <c r="L151" s="1" t="n">
        <f aca="false">MAX(L58,L60)</f>
        <v>1</v>
      </c>
      <c r="M151" s="1" t="n">
        <f aca="false">MAX(M58,M60)</f>
        <v>1</v>
      </c>
      <c r="N151" s="1" t="n">
        <f aca="false">MAX(N58,N60)</f>
        <v>1</v>
      </c>
      <c r="O151" s="1" t="n">
        <f aca="false">O58</f>
        <v>1269.65644044653</v>
      </c>
      <c r="P151" s="1" t="n">
        <f aca="false">IF(O151="","",1-EXP(-O151/100000))</f>
        <v>0.0126163030707851</v>
      </c>
      <c r="S151" s="1" t="n">
        <f aca="false">$P151*J151*$C$4*$C$5</f>
        <v>39812.9024501554</v>
      </c>
      <c r="T151" s="1" t="n">
        <f aca="false">$P151*K151*$C$4*$C$5</f>
        <v>39812.9024501554</v>
      </c>
      <c r="U151" s="1" t="n">
        <f aca="false">$P151*L151*$C$4*$C$5</f>
        <v>39812.9024501554</v>
      </c>
      <c r="V151" s="1" t="n">
        <f aca="false">$P151*M151*$C$4*$C$5</f>
        <v>39812.9024501554</v>
      </c>
      <c r="W151" s="1" t="n">
        <f aca="false">$P151*N151*$C$4*$C$5</f>
        <v>39812.9024501554</v>
      </c>
    </row>
    <row r="152" customFormat="false" ht="15" hidden="false" customHeight="true" outlineLevel="0" collapsed="false">
      <c r="B152" s="1" t="s">
        <v>1197</v>
      </c>
      <c r="J152" s="1" t="n">
        <f aca="false">MAX(J138)</f>
        <v>0.124223602484472</v>
      </c>
      <c r="K152" s="1" t="n">
        <f aca="false">MAX(K138)</f>
        <v>0.093167701863354</v>
      </c>
      <c r="L152" s="1" t="n">
        <f aca="false">MAX(L138)</f>
        <v>0.093167701863354</v>
      </c>
      <c r="M152" s="1" t="n">
        <f aca="false">MAX(M138)</f>
        <v>0.093167701863354</v>
      </c>
      <c r="N152" s="1" t="n">
        <f aca="false">MAX(N138)</f>
        <v>0.093167701863354</v>
      </c>
      <c r="O152" s="1" t="n">
        <f aca="false">O138</f>
        <v>6427.07033406477</v>
      </c>
      <c r="P152" s="1" t="n">
        <f aca="false">IF(O152="","",1-EXP(-O152/100000))</f>
        <v>0.0622488871906455</v>
      </c>
      <c r="S152" s="1" t="n">
        <f aca="false">$P152*J152*$C$4*$C$5</f>
        <v>24402.1132490001</v>
      </c>
      <c r="T152" s="1" t="n">
        <f aca="false">$P152*K152*$C$4*$C$5</f>
        <v>18301.5849367501</v>
      </c>
      <c r="U152" s="1" t="n">
        <f aca="false">$P152*L152*$C$4*$C$5</f>
        <v>18301.5849367501</v>
      </c>
      <c r="V152" s="1" t="n">
        <f aca="false">$P152*M152*$C$4*$C$5</f>
        <v>18301.5849367501</v>
      </c>
      <c r="W152" s="1" t="n">
        <f aca="false">$P152*N152*$C$4*$C$5</f>
        <v>18301.5849367501</v>
      </c>
    </row>
    <row r="153" customFormat="false" ht="15" hidden="false" customHeight="true" outlineLevel="0" collapsed="false">
      <c r="B153" s="1" t="s">
        <v>1198</v>
      </c>
      <c r="J153" s="1" t="n">
        <f aca="false">MAX(J128)</f>
        <v>0.124223602484472</v>
      </c>
      <c r="K153" s="1" t="n">
        <f aca="false">MAX(K128)</f>
        <v>0.093167701863354</v>
      </c>
      <c r="L153" s="1" t="n">
        <f aca="false">MAX(L128)</f>
        <v>0.093167701863354</v>
      </c>
      <c r="M153" s="1" t="n">
        <f aca="false">MAX(M128)</f>
        <v>0.093167701863354</v>
      </c>
      <c r="N153" s="1" t="n">
        <f aca="false">MAX(N128)</f>
        <v>0.093167701863354</v>
      </c>
      <c r="O153" s="1" t="n">
        <f aca="false">O128</f>
        <v>1044.58062909888</v>
      </c>
      <c r="P153" s="1" t="n">
        <f aca="false">IF(O153="","",1-EXP(-O153/100000))</f>
        <v>0.0103914383268676</v>
      </c>
      <c r="S153" s="1" t="n">
        <f aca="false">$P153*J153*$C$4*$C$5</f>
        <v>4073.53554924802</v>
      </c>
      <c r="T153" s="1" t="n">
        <f aca="false">$P153*K153*$C$4*$C$5</f>
        <v>3055.15166193602</v>
      </c>
      <c r="U153" s="1" t="n">
        <f aca="false">$P153*L153*$C$4*$C$5</f>
        <v>3055.15166193602</v>
      </c>
      <c r="V153" s="1" t="n">
        <f aca="false">$P153*M153*$C$4*$C$5</f>
        <v>3055.15166193602</v>
      </c>
      <c r="W153" s="1" t="n">
        <f aca="false">$P153*N153*$C$4*$C$5</f>
        <v>3055.15166193602</v>
      </c>
    </row>
    <row r="154" customFormat="false" ht="15" hidden="false" customHeight="true" outlineLevel="0" collapsed="false">
      <c r="B154" s="1" t="s">
        <v>1199</v>
      </c>
      <c r="J154" s="1" t="n">
        <f aca="false">MAX(J133)</f>
        <v>0.124223602484472</v>
      </c>
      <c r="K154" s="1" t="n">
        <f aca="false">MAX(K133)</f>
        <v>0.093167701863354</v>
      </c>
      <c r="L154" s="1" t="n">
        <f aca="false">MAX(L133)</f>
        <v>0.093167701863354</v>
      </c>
      <c r="M154" s="1" t="n">
        <f aca="false">MAX(M133)</f>
        <v>0.093167701863354</v>
      </c>
      <c r="N154" s="1" t="n">
        <f aca="false">MAX(N133)</f>
        <v>0.093167701863354</v>
      </c>
      <c r="O154" s="1" t="n">
        <f aca="false">O133</f>
        <v>1578.93271849209</v>
      </c>
      <c r="P154" s="1" t="n">
        <f aca="false">IF(O154="","",1-EXP(-O154/100000))</f>
        <v>0.0156653292309902</v>
      </c>
      <c r="S154" s="1" t="n">
        <f aca="false">$P154*J154*$C$4*$C$5</f>
        <v>6140.94733624315</v>
      </c>
      <c r="T154" s="1" t="n">
        <f aca="false">$P154*K154*$C$4*$C$5</f>
        <v>4605.71050218236</v>
      </c>
      <c r="U154" s="1" t="n">
        <f aca="false">$P154*L154*$C$4*$C$5</f>
        <v>4605.71050218236</v>
      </c>
      <c r="V154" s="1" t="n">
        <f aca="false">$P154*M154*$C$4*$C$5</f>
        <v>4605.71050218236</v>
      </c>
      <c r="W154" s="1" t="n">
        <f aca="false">$P154*N154*$C$4*$C$5</f>
        <v>4605.71050218236</v>
      </c>
    </row>
    <row r="155" customFormat="false" ht="15" hidden="false" customHeight="true" outlineLevel="0" collapsed="false">
      <c r="B155" s="1" t="s">
        <v>1200</v>
      </c>
      <c r="J155" s="1" t="n">
        <f aca="false">MAX(J43)</f>
        <v>0.124223602484472</v>
      </c>
      <c r="K155" s="1" t="n">
        <f aca="false">MAX(K43)</f>
        <v>0.093167701863354</v>
      </c>
      <c r="L155" s="1" t="n">
        <f aca="false">MAX(L43)</f>
        <v>0.093167701863354</v>
      </c>
      <c r="M155" s="1" t="n">
        <f aca="false">MAX(M43)</f>
        <v>0.093167701863354</v>
      </c>
      <c r="N155" s="1" t="n">
        <f aca="false">MAX(N43)</f>
        <v>0.093167701863354</v>
      </c>
      <c r="O155" s="1" t="n">
        <f aca="false">O43</f>
        <v>1485.06736810527</v>
      </c>
      <c r="P155" s="1" t="n">
        <f aca="false">IF(O155="","",1-EXP(-O155/100000))</f>
        <v>0.0147409462735134</v>
      </c>
      <c r="S155" s="1" t="n">
        <f aca="false">$P155*J155*$C$4*$C$5</f>
        <v>5778.58105739369</v>
      </c>
      <c r="T155" s="1" t="n">
        <f aca="false">$P155*K155*$C$4*$C$5</f>
        <v>4333.93579304527</v>
      </c>
      <c r="U155" s="1" t="n">
        <f aca="false">$P155*L155*$C$4*$C$5</f>
        <v>4333.93579304527</v>
      </c>
      <c r="V155" s="1" t="n">
        <f aca="false">$P155*M155*$C$4*$C$5</f>
        <v>4333.93579304527</v>
      </c>
      <c r="W155" s="1" t="n">
        <f aca="false">$P155*N155*$C$4*$C$5</f>
        <v>4333.93579304527</v>
      </c>
    </row>
    <row r="156" customFormat="false" ht="15" hidden="false" customHeight="true" outlineLevel="0" collapsed="false">
      <c r="B156" s="1" t="s">
        <v>1201</v>
      </c>
      <c r="J156" s="1" t="n">
        <f aca="false">MAX(J93,J94,J95,J96,J97,J98,J99,J100,J101,J102,J103,J104,J105,J106,J107,J108,J109,J110,J111)</f>
        <v>0.124223602484472</v>
      </c>
      <c r="K156" s="1" t="n">
        <f aca="false">MAX(K93,K94,K95,K96,K97,K98,K99,K100,K101,K102,K103,K104,K105,K106,K107,K108,K109,K110,K111)</f>
        <v>0.093167701863354</v>
      </c>
      <c r="L156" s="1" t="n">
        <f aca="false">MAX(L93,L94,L95,L96,L97,L98,L99,L100,L101,L102,L103,L104,L105,L106,L107,L108,L109,L110,L111)</f>
        <v>0.093167701863354</v>
      </c>
      <c r="M156" s="1" t="n">
        <f aca="false">MAX(M93,M94,M95,M96,M97,M98,M99,M100,M101,M102,M103,M104,M105,M106,M107,M108,M109,M110,M111)</f>
        <v>0.093167701863354</v>
      </c>
      <c r="N156" s="1" t="n">
        <f aca="false">MAX(N93,N94,N95,N96,N97,N98,N99,N100,N101,N102,N103,N104,N105,N106,N107,N108,N109,N110,N111)</f>
        <v>0.093167701863354</v>
      </c>
      <c r="O156" s="1" t="n">
        <f aca="false">O93</f>
        <v>327.059664033179</v>
      </c>
      <c r="P156" s="1" t="n">
        <f aca="false">IF(O156="","",1-EXP(-O156/100000))</f>
        <v>0.00326525406519651</v>
      </c>
      <c r="S156" s="1" t="n">
        <f aca="false">$P156*J156*$C$4*$C$5</f>
        <v>1280.00841592004</v>
      </c>
      <c r="T156" s="1" t="n">
        <f aca="false">$P156*K156*$C$4*$C$5</f>
        <v>960.006311940029</v>
      </c>
      <c r="U156" s="1" t="n">
        <f aca="false">$P156*L156*$C$4*$C$5</f>
        <v>960.006311940029</v>
      </c>
      <c r="V156" s="1" t="n">
        <f aca="false">$P156*M156*$C$4*$C$5</f>
        <v>960.006311940029</v>
      </c>
      <c r="W156" s="1" t="n">
        <f aca="false">$P156*N156*$C$4*$C$5</f>
        <v>960.006311940029</v>
      </c>
    </row>
    <row r="157" customFormat="false" ht="15" hidden="false" customHeight="true" outlineLevel="0" collapsed="false">
      <c r="B157" s="1" t="s">
        <v>1202</v>
      </c>
      <c r="J157" s="1" t="n">
        <f aca="false">MAX(J61)</f>
        <v>1</v>
      </c>
      <c r="K157" s="1" t="n">
        <f aca="false">MAX(K61)</f>
        <v>1</v>
      </c>
      <c r="L157" s="1" t="n">
        <f aca="false">MAX(L61)</f>
        <v>1</v>
      </c>
      <c r="M157" s="1" t="n">
        <f aca="false">MAX(M61)</f>
        <v>1</v>
      </c>
      <c r="N157" s="1" t="n">
        <f aca="false">MAX(N61)</f>
        <v>1</v>
      </c>
      <c r="O157" s="1" t="n">
        <f aca="false">O61</f>
        <v>1481.2014146297</v>
      </c>
      <c r="P157" s="1" t="n">
        <f aca="false">IF(O157="","",1-EXP(-O157/100000))</f>
        <v>0.0147028558806088</v>
      </c>
      <c r="S157" s="1" t="n">
        <f aca="false">$P157*J157*$C$4*$C$5</f>
        <v>46397.3767615704</v>
      </c>
      <c r="T157" s="1" t="n">
        <f aca="false">$P157*K157*$C$4*$C$5</f>
        <v>46397.3767615704</v>
      </c>
      <c r="U157" s="1" t="n">
        <f aca="false">$P157*L157*$C$4*$C$5</f>
        <v>46397.3767615704</v>
      </c>
      <c r="V157" s="1" t="n">
        <f aca="false">$P157*M157*$C$4*$C$5</f>
        <v>46397.3767615704</v>
      </c>
      <c r="W157" s="1" t="n">
        <f aca="false">$P157*N157*$C$4*$C$5</f>
        <v>46397.3767615704</v>
      </c>
    </row>
    <row r="158" customFormat="false" ht="15" hidden="false" customHeight="true" outlineLevel="0" collapsed="false">
      <c r="B158" s="1" t="s">
        <v>1203</v>
      </c>
      <c r="J158" s="1" t="n">
        <f aca="false">MAX(J25,J26,J27)</f>
        <v>0.124223602484472</v>
      </c>
      <c r="K158" s="1" t="n">
        <f aca="false">MAX(K25,K26,K27)</f>
        <v>0.248447204968944</v>
      </c>
      <c r="L158" s="1" t="n">
        <f aca="false">MAX(L25,L26,L27)</f>
        <v>0.31055900621118</v>
      </c>
      <c r="M158" s="1" t="n">
        <f aca="false">MAX(M25,M26,M27)</f>
        <v>0.31055900621118</v>
      </c>
      <c r="N158" s="1" t="n">
        <f aca="false">MAX(N25,N26,N27)</f>
        <v>0.5</v>
      </c>
      <c r="O158" s="1" t="n">
        <f aca="false">O25</f>
        <v>295.513483672532</v>
      </c>
      <c r="P158" s="1" t="n">
        <f aca="false">IF(O158="","",1-EXP(-O158/100000))</f>
        <v>0.00295077272370903</v>
      </c>
      <c r="S158" s="1" t="n">
        <f aca="false">$P158*J158*$C$4*$C$5</f>
        <v>1156.72895413348</v>
      </c>
      <c r="T158" s="1" t="n">
        <f aca="false">$P158*K158*$C$4*$C$5</f>
        <v>2313.45790826696</v>
      </c>
      <c r="U158" s="1" t="n">
        <f aca="false">$P158*L158*$C$4*$C$5</f>
        <v>2891.8223853337</v>
      </c>
      <c r="V158" s="1" t="n">
        <f aca="false">$P158*M158*$C$4*$C$5</f>
        <v>2891.8223853337</v>
      </c>
      <c r="W158" s="1" t="n">
        <f aca="false">$P158*N158*$C$4*$C$5</f>
        <v>4655.83404038725</v>
      </c>
    </row>
    <row r="159" customFormat="false" ht="15" hidden="false" customHeight="true" outlineLevel="0" collapsed="false">
      <c r="B159" s="1" t="s">
        <v>1204</v>
      </c>
      <c r="J159" s="1" t="n">
        <f aca="false">MAX(J28)</f>
        <v>1</v>
      </c>
      <c r="K159" s="1" t="n">
        <f aca="false">MAX(K28)</f>
        <v>1</v>
      </c>
      <c r="L159" s="1" t="n">
        <f aca="false">MAX(L28)</f>
        <v>1</v>
      </c>
      <c r="M159" s="1" t="n">
        <f aca="false">MAX(M28)</f>
        <v>1</v>
      </c>
      <c r="N159" s="1" t="n">
        <f aca="false">MAX(N28)</f>
        <v>1</v>
      </c>
      <c r="O159" s="1" t="n">
        <f aca="false">O28</f>
        <v>69.5871625602509</v>
      </c>
      <c r="P159" s="1" t="n">
        <f aca="false">IF(O159="","",1-EXP(-O159/100000))</f>
        <v>0.000695629563094213</v>
      </c>
      <c r="S159" s="1" t="n">
        <f aca="false">$P159*J159*$C$4*$C$5</f>
        <v>2195.17807883405</v>
      </c>
      <c r="T159" s="1" t="n">
        <f aca="false">$P159*K159*$C$4*$C$5</f>
        <v>2195.17807883405</v>
      </c>
      <c r="U159" s="1" t="n">
        <f aca="false">$P159*L159*$C$4*$C$5</f>
        <v>2195.17807883405</v>
      </c>
      <c r="V159" s="1" t="n">
        <f aca="false">$P159*M159*$C$4*$C$5</f>
        <v>2195.17807883405</v>
      </c>
      <c r="W159" s="1" t="n">
        <f aca="false">$P159*N159*$C$4*$C$5</f>
        <v>2195.17807883405</v>
      </c>
    </row>
    <row r="160" customFormat="false" ht="15" hidden="false" customHeight="true" outlineLevel="0" collapsed="false">
      <c r="B160" s="1" t="s">
        <v>1205</v>
      </c>
      <c r="J160" s="1" t="n">
        <f aca="false">MAX(J29)</f>
        <v>0</v>
      </c>
      <c r="K160" s="1" t="n">
        <f aca="false">MAX(K29)</f>
        <v>0</v>
      </c>
      <c r="L160" s="1" t="n">
        <f aca="false">MAX(L29)</f>
        <v>0</v>
      </c>
      <c r="M160" s="1" t="n">
        <f aca="false">MAX(M29)</f>
        <v>0.093167701863354</v>
      </c>
      <c r="N160" s="1" t="n">
        <f aca="false">MAX(N29)</f>
        <v>0</v>
      </c>
      <c r="O160" s="1" t="n">
        <f aca="false">O29</f>
        <v>227.008788085441</v>
      </c>
      <c r="P160" s="1" t="n">
        <f aca="false">IF(O160="","",1-EXP(-O160/100000))</f>
        <v>0.0022675131799953</v>
      </c>
      <c r="S160" s="1" t="n">
        <f aca="false">$P160*J160*$C$4*$C$5</f>
        <v>0</v>
      </c>
      <c r="T160" s="1" t="n">
        <f aca="false">$P160*K160*$C$4*$C$5</f>
        <v>0</v>
      </c>
      <c r="U160" s="1" t="n">
        <f aca="false">$P160*L160*$C$4*$C$5</f>
        <v>0</v>
      </c>
      <c r="V160" s="1" t="n">
        <f aca="false">$P160*M160*$C$4*$C$5</f>
        <v>666.663886404712</v>
      </c>
      <c r="W160" s="1" t="n">
        <f aca="false">$P160*N160*$C$4*$C$5</f>
        <v>0</v>
      </c>
    </row>
    <row r="161" customFormat="false" ht="15" hidden="false" customHeight="true" outlineLevel="0" collapsed="false">
      <c r="B161" s="1" t="s">
        <v>1206</v>
      </c>
      <c r="J161" s="1" t="n">
        <f aca="false">MAX(J18)</f>
        <v>0</v>
      </c>
      <c r="K161" s="1" t="n">
        <f aca="false">MAX(K18)</f>
        <v>0</v>
      </c>
      <c r="L161" s="1" t="n">
        <f aca="false">MAX(L18)</f>
        <v>0</v>
      </c>
      <c r="M161" s="1" t="n">
        <f aca="false">MAX(M18)</f>
        <v>1</v>
      </c>
      <c r="N161" s="1" t="n">
        <f aca="false">MAX(N18)</f>
        <v>0</v>
      </c>
      <c r="O161" s="1" t="n">
        <f aca="false">O18</f>
        <v>202.962557467398</v>
      </c>
      <c r="P161" s="1" t="n">
        <f aca="false">IF(O161="","",1-EXP(-O161/100000))</f>
        <v>0.00202756727744702</v>
      </c>
      <c r="S161" s="1" t="n">
        <f aca="false">$P161*J161*$C$4*$C$5</f>
        <v>0</v>
      </c>
      <c r="T161" s="1" t="n">
        <f aca="false">$P161*K161*$C$4*$C$5</f>
        <v>0</v>
      </c>
      <c r="U161" s="1" t="n">
        <f aca="false">$P161*L161*$C$4*$C$5</f>
        <v>0</v>
      </c>
      <c r="V161" s="1" t="n">
        <f aca="false">$P161*M161*$C$4*$C$5</f>
        <v>6398.3353740964</v>
      </c>
      <c r="W161" s="1" t="n">
        <f aca="false">$P161*N161*$C$4*$C$5</f>
        <v>0</v>
      </c>
    </row>
    <row r="162" customFormat="false" ht="15" hidden="false" customHeight="true" outlineLevel="0" collapsed="false">
      <c r="B162" s="1" t="s">
        <v>1207</v>
      </c>
      <c r="J162" s="1" t="n">
        <f aca="false">MAX(J92)</f>
        <v>1</v>
      </c>
      <c r="K162" s="1" t="n">
        <f aca="false">MAX(K92)</f>
        <v>1</v>
      </c>
      <c r="L162" s="1" t="n">
        <f aca="false">MAX(L92)</f>
        <v>1</v>
      </c>
      <c r="M162" s="1" t="n">
        <f aca="false">MAX(M92)</f>
        <v>1</v>
      </c>
      <c r="N162" s="1" t="n">
        <f aca="false">MAX(N92)</f>
        <v>1</v>
      </c>
      <c r="O162" s="1" t="n">
        <f aca="false">O92</f>
        <v>107.550825690343</v>
      </c>
      <c r="P162" s="1" t="n">
        <f aca="false">IF(O162="","",1-EXP(-O162/100000))</f>
        <v>0.00107493010518567</v>
      </c>
      <c r="S162" s="1" t="n">
        <f aca="false">$P162*J162*$C$4*$C$5</f>
        <v>3392.12582151684</v>
      </c>
      <c r="T162" s="1" t="n">
        <f aca="false">$P162*K162*$C$4*$C$5</f>
        <v>3392.12582151684</v>
      </c>
      <c r="U162" s="1" t="n">
        <f aca="false">$P162*L162*$C$4*$C$5</f>
        <v>3392.12582151684</v>
      </c>
      <c r="V162" s="1" t="n">
        <f aca="false">$P162*M162*$C$4*$C$5</f>
        <v>3392.12582151684</v>
      </c>
      <c r="W162" s="1" t="n">
        <f aca="false">$P162*N162*$C$4*$C$5</f>
        <v>3392.12582151684</v>
      </c>
    </row>
    <row r="163" customFormat="false" ht="15" hidden="false" customHeight="true" outlineLevel="0" collapsed="false">
      <c r="B163" s="1" t="s">
        <v>1208</v>
      </c>
      <c r="J163" s="1" t="n">
        <f aca="false">MAX(J127)</f>
        <v>0</v>
      </c>
      <c r="K163" s="1" t="n">
        <f aca="false">MAX(K127)</f>
        <v>0</v>
      </c>
      <c r="L163" s="1" t="n">
        <f aca="false">MAX(L127)</f>
        <v>0</v>
      </c>
      <c r="M163" s="1" t="n">
        <f aca="false">MAX(M127)</f>
        <v>0</v>
      </c>
      <c r="N163" s="1" t="n">
        <f aca="false">MAX(N127)</f>
        <v>0</v>
      </c>
      <c r="O163" s="1" t="n">
        <f aca="false">O127</f>
        <v>69.2242386422181</v>
      </c>
      <c r="P163" s="1" t="n">
        <f aca="false">IF(O163="","",1-EXP(-O163/100000))</f>
        <v>0.000692002841938821</v>
      </c>
      <c r="S163" s="1" t="n">
        <f aca="false">$P163*J163*$C$4*$C$5</f>
        <v>0</v>
      </c>
      <c r="T163" s="1" t="n">
        <f aca="false">$P163*K163*$C$4*$C$5</f>
        <v>0</v>
      </c>
      <c r="U163" s="1" t="n">
        <f aca="false">$P163*L163*$C$4*$C$5</f>
        <v>0</v>
      </c>
      <c r="V163" s="1" t="n">
        <f aca="false">$P163*M163*$C$4*$C$5</f>
        <v>0</v>
      </c>
      <c r="W163" s="1" t="n">
        <f aca="false">$P163*N163*$C$4*$C$5</f>
        <v>0</v>
      </c>
    </row>
    <row r="164" customFormat="false" ht="15" hidden="false" customHeight="true" outlineLevel="0" collapsed="false">
      <c r="B164" s="1" t="s">
        <v>1209</v>
      </c>
      <c r="S164" s="1" t="n">
        <f aca="false">SUM(S149:S163)</f>
        <v>291211.917162882</v>
      </c>
      <c r="T164" s="1" t="n">
        <f aca="false">SUM(T149:T163)</f>
        <v>274710.000427605</v>
      </c>
      <c r="U164" s="1" t="n">
        <f aca="false">SUM(U149:U163)</f>
        <v>275288.364904671</v>
      </c>
      <c r="V164" s="1" t="n">
        <f aca="false">SUM(V149:V163)</f>
        <v>282353.364165172</v>
      </c>
      <c r="W164" s="1" t="n">
        <f aca="false">SUM(W149:W163)</f>
        <v>277052.376559725</v>
      </c>
    </row>
    <row r="165" customFormat="false" ht="15" hidden="false" customHeight="true" outlineLevel="0" collapsed="false">
      <c r="B165" s="1" t="s">
        <v>1210</v>
      </c>
      <c r="S165" s="1" t="n">
        <f aca="false">S164/E7</f>
        <v>18.1424224400472</v>
      </c>
      <c r="T165" s="1" t="n">
        <f aca="false">T164/F7</f>
        <v>25.0739989226486</v>
      </c>
      <c r="U165" s="1" t="n">
        <f aca="false">U164/G7</f>
        <v>45.5232563962836</v>
      </c>
      <c r="V165" s="1" t="n">
        <f aca="false">V164/H7</f>
        <v>19.8564060965551</v>
      </c>
      <c r="W165" s="1" t="n">
        <f aca="false">W164/I7</f>
        <v>18.3732453409869</v>
      </c>
    </row>
    <row r="168" customFormat="false" ht="15" hidden="false" customHeight="true" outlineLevel="0" collapsed="false">
      <c r="B168" s="1" t="s">
        <v>1211</v>
      </c>
    </row>
    <row r="169" customFormat="false" ht="15" hidden="false" customHeight="true" outlineLevel="0" collapsed="false">
      <c r="B169" s="1" t="s">
        <v>673</v>
      </c>
      <c r="C169" s="1" t="s">
        <v>1212</v>
      </c>
      <c r="D169" s="1" t="s">
        <v>1213</v>
      </c>
      <c r="E169" s="1" t="s">
        <v>1214</v>
      </c>
      <c r="F169" s="1" t="s">
        <v>1215</v>
      </c>
    </row>
    <row r="170" customFormat="false" ht="15" hidden="false" customHeight="true" outlineLevel="0" collapsed="false">
      <c r="B170" s="1" t="s">
        <v>264</v>
      </c>
      <c r="C170" s="1" t="n">
        <v>161000</v>
      </c>
      <c r="D170" s="1" t="s">
        <v>1216</v>
      </c>
      <c r="E170" s="1" t="n">
        <v>805000</v>
      </c>
      <c r="F170" s="1" t="n">
        <v>966000</v>
      </c>
    </row>
    <row r="171" customFormat="false" ht="15" hidden="false" customHeight="true" outlineLevel="0" collapsed="false">
      <c r="B171" s="1" t="s">
        <v>265</v>
      </c>
      <c r="C171" s="1" t="n">
        <v>161000</v>
      </c>
      <c r="D171" s="1" t="s">
        <v>1217</v>
      </c>
      <c r="E171" s="1" t="n">
        <v>15000</v>
      </c>
      <c r="F171" s="1" t="n">
        <v>176000</v>
      </c>
    </row>
    <row r="172" customFormat="false" ht="15" hidden="false" customHeight="true" outlineLevel="0" collapsed="false">
      <c r="B172" s="1" t="s">
        <v>266</v>
      </c>
      <c r="C172" s="1" t="n">
        <v>161000</v>
      </c>
      <c r="D172" s="1" t="s">
        <v>1218</v>
      </c>
      <c r="E172" s="1" t="n">
        <v>161000</v>
      </c>
      <c r="F172" s="1" t="n">
        <v>322000</v>
      </c>
    </row>
    <row r="173" customFormat="false" ht="15" hidden="false" customHeight="true" outlineLevel="0" collapsed="false">
      <c r="B173" s="1" t="s">
        <v>267</v>
      </c>
      <c r="C173" s="1" t="n">
        <v>161000</v>
      </c>
      <c r="D173" s="1" t="s">
        <v>1219</v>
      </c>
      <c r="E173" s="1" t="n">
        <v>844400</v>
      </c>
      <c r="F173" s="1" t="n">
        <v>1005400</v>
      </c>
    </row>
    <row r="174" customFormat="false" ht="15" hidden="false" customHeight="true" outlineLevel="0" collapsed="false">
      <c r="B174" s="1" t="s">
        <v>268</v>
      </c>
      <c r="C174" s="1" t="n">
        <v>161000</v>
      </c>
      <c r="D174" s="1" t="s">
        <v>1220</v>
      </c>
      <c r="E174" s="1" t="n">
        <v>161000</v>
      </c>
      <c r="F174" s="1" t="n">
        <v>322000</v>
      </c>
    </row>
    <row r="175" customFormat="false" ht="15" hidden="false" customHeight="true" outlineLevel="0" collapsed="false">
      <c r="B175" s="1" t="s">
        <v>1221</v>
      </c>
    </row>
    <row r="178" customFormat="false" ht="15" hidden="false" customHeight="true" outlineLevel="0" collapsed="false">
      <c r="B178" s="1" t="s">
        <v>1222</v>
      </c>
    </row>
    <row r="179" customFormat="false" ht="15" hidden="false" customHeight="true" outlineLevel="0" collapsed="false">
      <c r="B179" s="1" t="s">
        <v>1223</v>
      </c>
      <c r="S179" s="1" t="n">
        <f aca="false">E7+S164</f>
        <v>307263.352307511</v>
      </c>
      <c r="T179" s="1" t="n">
        <f aca="false">F7+T164</f>
        <v>285665.971243232</v>
      </c>
      <c r="U179" s="1" t="n">
        <f aca="false">G7+U164</f>
        <v>281335.567734545</v>
      </c>
      <c r="V179" s="1" t="n">
        <f aca="false">H7+V164</f>
        <v>296573.125928312</v>
      </c>
      <c r="W179" s="1" t="n">
        <f aca="false">I7+W164</f>
        <v>292131.496846748</v>
      </c>
    </row>
    <row r="180" customFormat="false" ht="15" hidden="false" customHeight="true" outlineLevel="0" collapsed="false">
      <c r="B180" s="1" t="s">
        <v>1224</v>
      </c>
      <c r="S180" s="1" t="n">
        <f aca="false">MIN(E7+SUMPRODUCT(--(J149:J163=1),S149:S163),$C$4)+SUMPRODUCT(--(J149:J163&lt;1),(J149:J163&lt;&gt;"")*S149:S163)</f>
        <v>232791.311711777</v>
      </c>
      <c r="T180" s="1" t="n">
        <f aca="false">MIN(F7+SUMPRODUCT(--(K149:K163=1),T149:T163),$C$4)+SUMPRODUCT(--(K149:K163&lt;1),(K149:K163&lt;&gt;"")*T149:T163)</f>
        <v>216289.3949765</v>
      </c>
      <c r="U180" s="1" t="n">
        <f aca="false">MIN(G7+SUMPRODUCT(--(L149:L163=1),U149:U163),$C$4)+SUMPRODUCT(--(L149:L163&lt;1),(L149:L163&lt;&gt;"")*U149:U163)</f>
        <v>216867.759453566</v>
      </c>
      <c r="V180" s="1" t="n">
        <f aca="false">MIN(H7+SUMPRODUCT(--(M149:M163=1),V149:V163),$C$4)+SUMPRODUCT(--(M149:M163&lt;1),(M149:M163&lt;&gt;"")*V149:V163)</f>
        <v>217534.423339971</v>
      </c>
      <c r="W180" s="1" t="n">
        <f aca="false">MIN(I7+SUMPRODUCT(--(N149:N163=1),W149:W163),$C$4)+SUMPRODUCT(--(N149:N163&lt;1),(N149:N163&lt;&gt;"")*W149:W163)</f>
        <v>218631.77110862</v>
      </c>
    </row>
    <row r="181" customFormat="false" ht="15" hidden="false" customHeight="true" outlineLevel="0" collapsed="false">
      <c r="B181" s="1" t="s">
        <v>1225</v>
      </c>
      <c r="S181" s="1" t="n">
        <f aca="false">F170</f>
        <v>966000</v>
      </c>
      <c r="T181" s="1" t="n">
        <f aca="false">F171</f>
        <v>176000</v>
      </c>
      <c r="U181" s="1" t="n">
        <f aca="false">F172</f>
        <v>322000</v>
      </c>
      <c r="V181" s="1" t="n">
        <f aca="false">F173</f>
        <v>1005400</v>
      </c>
      <c r="W181" s="1" t="n">
        <f aca="false">F174</f>
        <v>322000</v>
      </c>
    </row>
    <row r="182" customFormat="false" ht="15" hidden="false" customHeight="true" outlineLevel="0" collapsed="false">
      <c r="B182" s="1" t="s">
        <v>1226</v>
      </c>
      <c r="S182" s="1" t="n">
        <f aca="false">MIN(S179,S180,S181)</f>
        <v>232791.311711777</v>
      </c>
      <c r="T182" s="1" t="n">
        <f aca="false">MIN(T179,T180,T181)</f>
        <v>176000</v>
      </c>
      <c r="U182" s="1" t="n">
        <f aca="false">MIN(U179,U180,U181)</f>
        <v>216867.759453566</v>
      </c>
      <c r="V182" s="1" t="n">
        <f aca="false">MIN(V179,V180,V181)</f>
        <v>217534.423339971</v>
      </c>
      <c r="W182" s="1" t="n">
        <f aca="false">MIN(W179,W180,W181)</f>
        <v>218631.77110862</v>
      </c>
    </row>
    <row r="183" customFormat="false" ht="15" hidden="false" customHeight="true" outlineLevel="0" collapsed="false">
      <c r="B183" s="1" t="s">
        <v>1227</v>
      </c>
      <c r="S183" s="1" t="n">
        <f aca="false">Concentration_06!C63*S179/S182</f>
        <v>0.0619525158494814</v>
      </c>
      <c r="T183" s="1" t="n">
        <f aca="false">Concentration_06!D63*T179/T182</f>
        <v>0.0561030359342917</v>
      </c>
      <c r="U183" s="1" t="n">
        <f aca="false">Concentration_06!E63*U179/U182</f>
        <v>0.0251308806215572</v>
      </c>
      <c r="V183" s="1" t="n">
        <f aca="false">Concentration_06!F63*V179/V182</f>
        <v>0.0589131838050977</v>
      </c>
      <c r="W183" s="1" t="n">
        <f aca="false">Concentration_06!G63*W179/W182</f>
        <v>0.0627400267236442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1228</v>
      </c>
    </row>
    <row r="2" customFormat="false" ht="15" hidden="false" customHeight="true" outlineLevel="0" collapsed="false">
      <c r="A2" s="1" t="s">
        <v>1229</v>
      </c>
    </row>
    <row r="4" customFormat="false" ht="15" hidden="false" customHeight="true" outlineLevel="0" collapsed="false">
      <c r="A4" s="1" t="s">
        <v>53</v>
      </c>
      <c r="B4" s="1" t="s">
        <v>697</v>
      </c>
      <c r="C4" s="1" t="s">
        <v>1230</v>
      </c>
      <c r="D4" s="1" t="s">
        <v>264</v>
      </c>
      <c r="E4" s="1" t="s">
        <v>265</v>
      </c>
      <c r="F4" s="1" t="s">
        <v>266</v>
      </c>
      <c r="G4" s="1" t="s">
        <v>267</v>
      </c>
      <c r="H4" s="1" t="s">
        <v>268</v>
      </c>
      <c r="I4" s="1" t="s">
        <v>1123</v>
      </c>
    </row>
    <row r="5" customFormat="false" ht="15" hidden="false" customHeight="true" outlineLevel="0" collapsed="false">
      <c r="A5" s="1" t="s">
        <v>686</v>
      </c>
      <c r="B5" s="1" t="s">
        <v>1231</v>
      </c>
      <c r="C5" s="1" t="s">
        <v>1232</v>
      </c>
      <c r="D5" s="1" t="n">
        <f aca="false">(Head_EPV_06!E16+Head_EPV_06!E21)/2</f>
        <v>13949.3845749098</v>
      </c>
      <c r="E5" s="1" t="n">
        <f aca="false">(Head_EPV_06!E27+Head_EPV_06!E32)/2</f>
        <v>5579.75382996394</v>
      </c>
      <c r="F5" s="1" t="n">
        <f aca="false">(Head_EPV_06!E38+Head_EPV_06!E43)/2</f>
        <v>2789.87691498197</v>
      </c>
      <c r="G5" s="1" t="n">
        <f aca="false">(Head_EPV_06!E49+Head_EPV_06!E54)/2</f>
        <v>11159.5076599279</v>
      </c>
      <c r="H5" s="1" t="n">
        <f aca="false">(Head_EPV_06!E60+Head_EPV_06!E65)/2</f>
        <v>8369.6307449459</v>
      </c>
    </row>
    <row r="6" customFormat="false" ht="15" hidden="false" customHeight="true" outlineLevel="0" collapsed="false">
      <c r="A6" s="1" t="s">
        <v>688</v>
      </c>
      <c r="B6" s="1" t="s">
        <v>1233</v>
      </c>
      <c r="C6" s="1" t="s">
        <v>1232</v>
      </c>
      <c r="D6" s="1" t="n">
        <f aca="false">Head_EPV_06!E22/2</f>
        <v>55.6317328962796</v>
      </c>
      <c r="E6" s="1" t="n">
        <f aca="false">Head_EPV_06!E33/2</f>
        <v>25.0342798033258</v>
      </c>
      <c r="F6" s="1" t="n">
        <f aca="false">Head_EPV_06!E44/2</f>
        <v>16.6895198688839</v>
      </c>
      <c r="G6" s="1" t="n">
        <f aca="false">Head_EPV_06!E55/2</f>
        <v>33.3790397377678</v>
      </c>
      <c r="H6" s="1" t="n">
        <f aca="false">Head_EPV_06!E66/2</f>
        <v>0</v>
      </c>
    </row>
    <row r="7" customFormat="false" ht="15" hidden="false" customHeight="true" outlineLevel="0" collapsed="false">
      <c r="A7" s="1" t="s">
        <v>690</v>
      </c>
      <c r="B7" s="1" t="s">
        <v>548</v>
      </c>
      <c r="C7" s="1" t="s">
        <v>1232</v>
      </c>
      <c r="D7" s="1" t="n">
        <f aca="false">(Head_EPV_06!E17+Head_EPV_06!E23)/2</f>
        <v>752.23947461992</v>
      </c>
      <c r="E7" s="1" t="n">
        <f aca="false">(Head_EPV_06!E28+Head_EPV_06!E34)/2</f>
        <v>3008.95789847968</v>
      </c>
      <c r="F7" s="1" t="n">
        <f aca="false">(Head_EPV_06!E39+Head_EPV_06!E45)/2</f>
        <v>1504.47894923984</v>
      </c>
      <c r="G7" s="1" t="n">
        <f aca="false">(Head_EPV_06!E50+Head_EPV_06!E56)/2</f>
        <v>2256.71842385976</v>
      </c>
      <c r="H7" s="1" t="n">
        <f aca="false">(Head_EPV_06!E61+Head_EPV_06!E67)/2</f>
        <v>3761.1973730996</v>
      </c>
    </row>
    <row r="8" customFormat="false" ht="15" hidden="false" customHeight="true" outlineLevel="0" collapsed="false">
      <c r="A8" s="1" t="s">
        <v>692</v>
      </c>
      <c r="B8" s="1" t="s">
        <v>549</v>
      </c>
      <c r="C8" s="1" t="s">
        <v>1232</v>
      </c>
      <c r="D8" s="1" t="n">
        <f aca="false">(Head_EPV_06!E18+Head_EPV_06!E24)/2</f>
        <v>1050.57010315339</v>
      </c>
      <c r="E8" s="1" t="n">
        <f aca="false">(Head_EPV_06!E29+Head_EPV_06!E35)/2</f>
        <v>2101.14020630678</v>
      </c>
      <c r="F8" s="1" t="n">
        <f aca="false">(Head_EPV_06!E40+Head_EPV_06!E46)/2</f>
        <v>1575.85515473008</v>
      </c>
      <c r="G8" s="1" t="n">
        <f aca="false">(Head_EPV_06!E51+Head_EPV_06!E57)/2</f>
        <v>525.285051576694</v>
      </c>
      <c r="H8" s="1" t="n">
        <f aca="false">(Head_EPV_06!E62+Head_EPV_06!E68)/2</f>
        <v>2626.42525788347</v>
      </c>
    </row>
    <row r="9" customFormat="false" ht="15" hidden="false" customHeight="true" outlineLevel="0" collapsed="false">
      <c r="A9" s="1" t="s">
        <v>550</v>
      </c>
      <c r="B9" s="1" t="s">
        <v>500</v>
      </c>
      <c r="C9" s="1" t="s">
        <v>1232</v>
      </c>
      <c r="D9" s="1" t="n">
        <f aca="false">(Head_EPV_06!E19+Head_EPV_06!E25)/2</f>
        <v>79.5199810323836</v>
      </c>
      <c r="E9" s="1" t="n">
        <f aca="false">(Head_EPV_06!E30+Head_EPV_06!E36)/2</f>
        <v>159.039962064767</v>
      </c>
      <c r="F9" s="1" t="n">
        <f aca="false">(Head_EPV_06!E41+Head_EPV_06!E47)/2</f>
        <v>119.279971548575</v>
      </c>
      <c r="G9" s="1" t="n">
        <f aca="false">(Head_EPV_06!E52+Head_EPV_06!E58)/2</f>
        <v>39.7599905161918</v>
      </c>
      <c r="H9" s="1" t="n">
        <f aca="false">(Head_EPV_06!E63+Head_EPV_06!E69)/2</f>
        <v>198.799952580959</v>
      </c>
    </row>
    <row r="10" customFormat="false" ht="15" hidden="false" customHeight="true" outlineLevel="0" collapsed="false">
      <c r="A10" s="1" t="s">
        <v>695</v>
      </c>
      <c r="B10" s="1" t="s">
        <v>551</v>
      </c>
      <c r="C10" s="1" t="s">
        <v>1232</v>
      </c>
      <c r="D10" s="1" t="n">
        <f aca="false">(Head_EPV_06!E20+Head_EPV_06!E26)/2</f>
        <v>164.089278017302</v>
      </c>
      <c r="E10" s="1" t="n">
        <f aca="false">(Head_EPV_06!E31+Head_EPV_06!E37)/2</f>
        <v>82.0446390086512</v>
      </c>
      <c r="F10" s="1" t="n">
        <f aca="false">(Head_EPV_06!E42+Head_EPV_06!E48)/2</f>
        <v>41.0223195043256</v>
      </c>
      <c r="G10" s="1" t="n">
        <f aca="false">(Head_EPV_06!E53+Head_EPV_06!E59)/2</f>
        <v>205.111597521628</v>
      </c>
      <c r="H10" s="1" t="n">
        <f aca="false">(Head_EPV_06!E64+Head_EPV_06!E70)/2</f>
        <v>123.066958512977</v>
      </c>
    </row>
    <row r="11" customFormat="false" ht="15" hidden="false" customHeight="true" outlineLevel="0" collapsed="false">
      <c r="B11" s="1" t="s">
        <v>1234</v>
      </c>
      <c r="D11" s="1" t="n">
        <f aca="false">SUM(D5:D10)</f>
        <v>16051.4351446291</v>
      </c>
      <c r="E11" s="1" t="n">
        <f aca="false">SUM(E5:E10)</f>
        <v>10955.9708156271</v>
      </c>
      <c r="F11" s="1" t="n">
        <f aca="false">SUM(F5:F10)</f>
        <v>6047.20282987368</v>
      </c>
      <c r="G11" s="1" t="n">
        <f aca="false">SUM(G5:G10)</f>
        <v>14219.7617631399</v>
      </c>
      <c r="H11" s="1" t="n">
        <f aca="false">SUM(H5:H10)</f>
        <v>15079.1202870229</v>
      </c>
    </row>
    <row r="13" customFormat="false" ht="15" hidden="false" customHeight="true" outlineLevel="0" collapsed="false">
      <c r="B13" s="1" t="s">
        <v>1235</v>
      </c>
    </row>
    <row r="14" customFormat="false" ht="15" hidden="false" customHeight="true" outlineLevel="0" collapsed="false">
      <c r="A14" s="1" t="n">
        <f aca="false">Tail_bounds!A18</f>
        <v>9</v>
      </c>
      <c r="B14" s="1" t="str">
        <f aca="false">Tail_bounds!B18</f>
        <v>Chronic / Severe Rheumatoid Arthritis</v>
      </c>
      <c r="C14" s="1" t="s">
        <v>1236</v>
      </c>
      <c r="D14" s="1" t="n">
        <f aca="false">Tail_bounds!S18</f>
        <v>0</v>
      </c>
      <c r="E14" s="1" t="n">
        <f aca="false">Tail_bounds!T18</f>
        <v>0</v>
      </c>
      <c r="F14" s="1" t="n">
        <f aca="false">Tail_bounds!U18</f>
        <v>0</v>
      </c>
      <c r="G14" s="1" t="n">
        <f aca="false">Tail_bounds!V18</f>
        <v>6398.3353740964</v>
      </c>
      <c r="H14" s="1" t="n">
        <f aca="false">Tail_bounds!W18</f>
        <v>0</v>
      </c>
      <c r="I14" s="1" t="str">
        <f aca="false">IF(Tail_bounds!AC18=TRUE(),"PROMOTE","de minimis")</f>
        <v>de minimis</v>
      </c>
    </row>
    <row r="15" customFormat="false" ht="15" hidden="false" customHeight="true" outlineLevel="0" collapsed="false">
      <c r="A15" s="1" t="n">
        <f aca="false">Tail_bounds!A19</f>
        <v>10</v>
      </c>
      <c r="B15" s="1" t="str">
        <f aca="false">Tail_bounds!B19</f>
        <v>Aorta Graft Surgery</v>
      </c>
      <c r="C15" s="1" t="s">
        <v>1236</v>
      </c>
      <c r="D15" s="1" t="n">
        <f aca="false">Tail_bounds!S19</f>
        <v>75157.9489945493</v>
      </c>
      <c r="E15" s="1" t="n">
        <f aca="false">Tail_bounds!T19</f>
        <v>75157.9489945493</v>
      </c>
      <c r="F15" s="1" t="n">
        <f aca="false">Tail_bounds!U19</f>
        <v>75157.9489945493</v>
      </c>
      <c r="G15" s="1" t="n">
        <f aca="false">Tail_bounds!V19</f>
        <v>75157.9489945493</v>
      </c>
      <c r="H15" s="1" t="n">
        <f aca="false">Tail_bounds!W19</f>
        <v>75157.9489945493</v>
      </c>
      <c r="I15" s="1" t="str">
        <f aca="false">IF(Tail_bounds!AC19=TRUE(),"PROMOTE","de minimis")</f>
        <v>de minimis</v>
      </c>
    </row>
    <row r="16" customFormat="false" ht="15" hidden="false" customHeight="true" outlineLevel="0" collapsed="false">
      <c r="A16" s="1" t="n">
        <f aca="false">Tail_bounds!A20</f>
        <v>11</v>
      </c>
      <c r="B16" s="1" t="str">
        <f aca="false">Tail_bounds!B20</f>
        <v>Aortic Aneurysm – Endovascular Repair (Partial)</v>
      </c>
      <c r="C16" s="1" t="s">
        <v>1236</v>
      </c>
      <c r="D16" s="1" t="n">
        <f aca="false">Tail_bounds!S20</f>
        <v>9336.39117944711</v>
      </c>
      <c r="E16" s="1" t="n">
        <f aca="false">Tail_bounds!T20</f>
        <v>7002.29338458533</v>
      </c>
      <c r="F16" s="1" t="n">
        <f aca="false">Tail_bounds!U20</f>
        <v>7002.29338458533</v>
      </c>
      <c r="G16" s="1" t="n">
        <f aca="false">Tail_bounds!V20</f>
        <v>7002.29338458533</v>
      </c>
      <c r="H16" s="1" t="n">
        <f aca="false">Tail_bounds!W20</f>
        <v>7002.29338458533</v>
      </c>
      <c r="I16" s="1" t="str">
        <f aca="false">IF(Tail_bounds!AC20=TRUE(),"PROMOTE","de minimis")</f>
        <v>de minimis</v>
      </c>
    </row>
    <row r="17" customFormat="false" ht="15" hidden="false" customHeight="true" outlineLevel="0" collapsed="false">
      <c r="A17" s="1" t="n">
        <f aca="false">Tail_bounds!A21</f>
        <v>12</v>
      </c>
      <c r="B17" s="1" t="str">
        <f aca="false">Tail_bounds!B21</f>
        <v>Balloon Valvuloplasty</v>
      </c>
      <c r="C17" s="1" t="s">
        <v>1236</v>
      </c>
      <c r="D17" s="1" t="n">
        <f aca="false">Tail_bounds!S21</f>
        <v>75157.9489945493</v>
      </c>
      <c r="E17" s="1" t="n">
        <f aca="false">Tail_bounds!T21</f>
        <v>0</v>
      </c>
      <c r="F17" s="1" t="n">
        <f aca="false">Tail_bounds!U21</f>
        <v>75157.9489945493</v>
      </c>
      <c r="G17" s="1" t="n">
        <f aca="false">Tail_bounds!V21</f>
        <v>75157.9489945493</v>
      </c>
      <c r="H17" s="1" t="n">
        <f aca="false">Tail_bounds!W21</f>
        <v>75157.9489945493</v>
      </c>
      <c r="I17" s="1" t="str">
        <f aca="false">IF(Tail_bounds!AC21=TRUE(),"PROMOTE","de minimis")</f>
        <v>de minimis</v>
      </c>
    </row>
    <row r="18" customFormat="false" ht="15" hidden="false" customHeight="true" outlineLevel="0" collapsed="false">
      <c r="A18" s="1" t="n">
        <f aca="false">Tail_bounds!A22</f>
        <v>13</v>
      </c>
      <c r="B18" s="1" t="str">
        <f aca="false">Tail_bounds!B22</f>
        <v>Cardiac Arrest with Defibrillator Insertion</v>
      </c>
      <c r="C18" s="1" t="s">
        <v>1236</v>
      </c>
      <c r="D18" s="1" t="n">
        <f aca="false">Tail_bounds!S22</f>
        <v>75157.9489945493</v>
      </c>
      <c r="E18" s="1" t="n">
        <f aca="false">Tail_bounds!T22</f>
        <v>75157.9489945493</v>
      </c>
      <c r="F18" s="1" t="n">
        <f aca="false">Tail_bounds!U22</f>
        <v>75157.9489945493</v>
      </c>
      <c r="G18" s="1" t="n">
        <f aca="false">Tail_bounds!V22</f>
        <v>75157.9489945493</v>
      </c>
      <c r="H18" s="1" t="n">
        <f aca="false">Tail_bounds!W22</f>
        <v>75157.9489945493</v>
      </c>
      <c r="I18" s="1" t="str">
        <f aca="false">IF(Tail_bounds!AC22=TRUE(),"PROMOTE","de minimis")</f>
        <v>de minimis</v>
      </c>
    </row>
    <row r="19" customFormat="false" ht="15" hidden="false" customHeight="true" outlineLevel="0" collapsed="false">
      <c r="A19" s="1" t="n">
        <f aca="false">Tail_bounds!A24</f>
        <v>15</v>
      </c>
      <c r="B19" s="1" t="str">
        <f aca="false">Tail_bounds!B24</f>
        <v>Carotid Artery Stenosis – Treated by Endarterectomy or Angioplasty</v>
      </c>
      <c r="C19" s="1" t="s">
        <v>1236</v>
      </c>
      <c r="D19" s="1" t="n">
        <f aca="false">Tail_bounds!S24</f>
        <v>9336.39117944711</v>
      </c>
      <c r="E19" s="1" t="n">
        <f aca="false">Tail_bounds!T24</f>
        <v>7002.29338458533</v>
      </c>
      <c r="F19" s="1" t="n">
        <f aca="false">Tail_bounds!U24</f>
        <v>7002.29338458533</v>
      </c>
      <c r="G19" s="1" t="n">
        <f aca="false">Tail_bounds!V24</f>
        <v>7002.29338458533</v>
      </c>
      <c r="H19" s="1" t="n">
        <f aca="false">Tail_bounds!W24</f>
        <v>7002.29338458533</v>
      </c>
      <c r="I19" s="1" t="str">
        <f aca="false">IF(Tail_bounds!AC24=TRUE(),"PROMOTE","de minimis")</f>
        <v>de minimis</v>
      </c>
    </row>
    <row r="20" customFormat="false" ht="15" hidden="false" customHeight="true" outlineLevel="0" collapsed="false">
      <c r="A20" s="1" t="n">
        <f aca="false">Tail_bounds!A25</f>
        <v>16</v>
      </c>
      <c r="B20" s="1" t="str">
        <f aca="false">Tail_bounds!B25</f>
        <v>Coronary Angioplasty (Partial Payment)</v>
      </c>
      <c r="C20" s="1" t="s">
        <v>1236</v>
      </c>
      <c r="D20" s="1" t="n">
        <f aca="false">Tail_bounds!S25</f>
        <v>1156.72895413348</v>
      </c>
      <c r="E20" s="1" t="n">
        <f aca="false">Tail_bounds!T25</f>
        <v>2313.45790826696</v>
      </c>
      <c r="F20" s="1" t="n">
        <f aca="false">Tail_bounds!U25</f>
        <v>2891.8223853337</v>
      </c>
      <c r="G20" s="1" t="n">
        <f aca="false">Tail_bounds!V25</f>
        <v>2891.8223853337</v>
      </c>
      <c r="H20" s="1" t="n">
        <f aca="false">Tail_bounds!W25</f>
        <v>4655.83404038725</v>
      </c>
      <c r="I20" s="1" t="str">
        <f aca="false">IF(Tail_bounds!AC25=TRUE(),"PROMOTE","de minimis")</f>
        <v>de minimis</v>
      </c>
    </row>
    <row r="21" customFormat="false" ht="15" hidden="false" customHeight="true" outlineLevel="0" collapsed="false">
      <c r="A21" s="1" t="n">
        <f aca="false">Tail_bounds!A26</f>
        <v>17</v>
      </c>
      <c r="B21" s="1" t="str">
        <f aca="false">Tail_bounds!B26</f>
        <v>Coronary Angioplasty – Single Vessel</v>
      </c>
      <c r="C21" s="1" t="s">
        <v>1236</v>
      </c>
      <c r="D21" s="1" t="n">
        <f aca="false">Tail_bounds!S26</f>
        <v>289.18223853337</v>
      </c>
      <c r="E21" s="1" t="n">
        <f aca="false">Tail_bounds!T26</f>
        <v>578.36447706674</v>
      </c>
      <c r="F21" s="1" t="n">
        <f aca="false">Tail_bounds!U26</f>
        <v>578.36447706674</v>
      </c>
      <c r="G21" s="1" t="n">
        <f aca="false">Tail_bounds!V26</f>
        <v>289.18223853337</v>
      </c>
      <c r="H21" s="1" t="n">
        <f aca="false">Tail_bounds!W26</f>
        <v>289.18223853337</v>
      </c>
      <c r="I21" s="1" t="str">
        <f aca="false">IF(Tail_bounds!AC26=TRUE(),"PROMOTE","de minimis")</f>
        <v>de minimis</v>
      </c>
    </row>
    <row r="22" customFormat="false" ht="15" hidden="false" customHeight="true" outlineLevel="0" collapsed="false">
      <c r="A22" s="1" t="n">
        <f aca="false">Tail_bounds!A27</f>
        <v>18</v>
      </c>
      <c r="B22" s="1" t="str">
        <f aca="false">Tail_bounds!B27</f>
        <v>Coronary Angioplasty – Two or More Vessels</v>
      </c>
      <c r="C22" s="1" t="s">
        <v>1236</v>
      </c>
      <c r="D22" s="1" t="n">
        <f aca="false">Tail_bounds!S27</f>
        <v>1156.72895413348</v>
      </c>
      <c r="E22" s="1" t="n">
        <f aca="false">Tail_bounds!T27</f>
        <v>2313.45790826696</v>
      </c>
      <c r="F22" s="1" t="n">
        <f aca="false">Tail_bounds!U27</f>
        <v>2891.8223853337</v>
      </c>
      <c r="G22" s="1" t="n">
        <f aca="false">Tail_bounds!V27</f>
        <v>2891.8223853337</v>
      </c>
      <c r="H22" s="1" t="n">
        <f aca="false">Tail_bounds!W27</f>
        <v>4655.83404038725</v>
      </c>
      <c r="I22" s="1" t="str">
        <f aca="false">IF(Tail_bounds!AC27=TRUE(),"PROMOTE","de minimis")</f>
        <v>de minimis</v>
      </c>
    </row>
    <row r="23" customFormat="false" ht="15" hidden="false" customHeight="true" outlineLevel="0" collapsed="false">
      <c r="A23" s="1" t="n">
        <f aca="false">Tail_bounds!A28</f>
        <v>19</v>
      </c>
      <c r="B23" s="1" t="str">
        <f aca="false">Tail_bounds!B28</f>
        <v>Coronary Artery Bypass Graft (CABG) – Open Surgery</v>
      </c>
      <c r="C23" s="1" t="s">
        <v>1236</v>
      </c>
      <c r="D23" s="1" t="n">
        <f aca="false">Tail_bounds!S28</f>
        <v>2195.17807883405</v>
      </c>
      <c r="E23" s="1" t="n">
        <f aca="false">Tail_bounds!T28</f>
        <v>2195.17807883405</v>
      </c>
      <c r="F23" s="1" t="n">
        <f aca="false">Tail_bounds!U28</f>
        <v>2195.17807883405</v>
      </c>
      <c r="G23" s="1" t="n">
        <f aca="false">Tail_bounds!V28</f>
        <v>2195.17807883405</v>
      </c>
      <c r="H23" s="1" t="n">
        <f aca="false">Tail_bounds!W28</f>
        <v>2195.17807883405</v>
      </c>
      <c r="I23" s="1" t="str">
        <f aca="false">IF(Tail_bounds!AC28=TRUE(),"PROMOTE","de minimis")</f>
        <v>de minimis</v>
      </c>
    </row>
    <row r="24" customFormat="false" ht="15" hidden="false" customHeight="true" outlineLevel="0" collapsed="false">
      <c r="A24" s="1" t="n">
        <f aca="false">Tail_bounds!A29</f>
        <v>21</v>
      </c>
      <c r="B24" s="1" t="str">
        <f aca="false">Tail_bounds!B29</f>
        <v>Heart Failure</v>
      </c>
      <c r="C24" s="1" t="s">
        <v>1236</v>
      </c>
      <c r="D24" s="1" t="n">
        <f aca="false">Tail_bounds!S29</f>
        <v>0</v>
      </c>
      <c r="E24" s="1" t="n">
        <f aca="false">Tail_bounds!T29</f>
        <v>0</v>
      </c>
      <c r="F24" s="1" t="n">
        <f aca="false">Tail_bounds!U29</f>
        <v>0</v>
      </c>
      <c r="G24" s="1" t="n">
        <f aca="false">Tail_bounds!V29</f>
        <v>666.663886404712</v>
      </c>
      <c r="H24" s="1" t="n">
        <f aca="false">Tail_bounds!W29</f>
        <v>0</v>
      </c>
      <c r="I24" s="1" t="str">
        <f aca="false">IF(Tail_bounds!AC29=TRUE(),"PROMOTE","de minimis")</f>
        <v>de minimis</v>
      </c>
    </row>
    <row r="25" customFormat="false" ht="15" hidden="false" customHeight="true" outlineLevel="0" collapsed="false">
      <c r="A25" s="1" t="n">
        <f aca="false">Tail_bounds!A31</f>
        <v>23</v>
      </c>
      <c r="B25" s="1" t="str">
        <f aca="false">Tail_bounds!B31</f>
        <v>Heart Valve Replacement or Repair</v>
      </c>
      <c r="C25" s="1" t="s">
        <v>1236</v>
      </c>
      <c r="D25" s="1" t="n">
        <f aca="false">Tail_bounds!S31</f>
        <v>75157.9489945493</v>
      </c>
      <c r="E25" s="1" t="n">
        <f aca="false">Tail_bounds!T31</f>
        <v>75157.9489945493</v>
      </c>
      <c r="F25" s="1" t="n">
        <f aca="false">Tail_bounds!U31</f>
        <v>75157.9489945493</v>
      </c>
      <c r="G25" s="1" t="n">
        <f aca="false">Tail_bounds!V31</f>
        <v>75157.9489945493</v>
      </c>
      <c r="H25" s="1" t="n">
        <f aca="false">Tail_bounds!W31</f>
        <v>75157.9489945493</v>
      </c>
      <c r="I25" s="1" t="str">
        <f aca="false">IF(Tail_bounds!AC31=TRUE(),"PROMOTE","de minimis")</f>
        <v>de minimis</v>
      </c>
    </row>
    <row r="26" customFormat="false" ht="15" hidden="false" customHeight="true" outlineLevel="0" collapsed="false">
      <c r="A26" s="1" t="n">
        <f aca="false">Tail_bounds!A32</f>
        <v>24</v>
      </c>
      <c r="B26" s="1" t="str">
        <f aca="false">Tail_bounds!B32</f>
        <v>Implantable Cardioverter Defibrillator (ICD) – for Primary Prevention</v>
      </c>
      <c r="C26" s="1" t="s">
        <v>1236</v>
      </c>
      <c r="D26" s="1" t="n">
        <f aca="false">Tail_bounds!S32</f>
        <v>9336.39117944711</v>
      </c>
      <c r="E26" s="1" t="n">
        <f aca="false">Tail_bounds!T32</f>
        <v>7002.29338458533</v>
      </c>
      <c r="F26" s="1" t="n">
        <f aca="false">Tail_bounds!U32</f>
        <v>7002.29338458533</v>
      </c>
      <c r="G26" s="1" t="n">
        <f aca="false">Tail_bounds!V32</f>
        <v>7002.29338458533</v>
      </c>
      <c r="H26" s="1" t="n">
        <f aca="false">Tail_bounds!W32</f>
        <v>7002.29338458533</v>
      </c>
      <c r="I26" s="1" t="str">
        <f aca="false">IF(Tail_bounds!AC32=TRUE(),"PROMOTE","de minimis")</f>
        <v>de minimis</v>
      </c>
    </row>
    <row r="27" customFormat="false" ht="15" hidden="false" customHeight="true" outlineLevel="0" collapsed="false">
      <c r="A27" s="1" t="n">
        <f aca="false">Tail_bounds!A34</f>
        <v>26</v>
      </c>
      <c r="B27" s="1" t="str">
        <f aca="false">Tail_bounds!B34</f>
        <v>Peripheral Vascular Disease – with Surgery or Angioplasty</v>
      </c>
      <c r="C27" s="1" t="s">
        <v>1236</v>
      </c>
      <c r="D27" s="1" t="n">
        <f aca="false">Tail_bounds!S34</f>
        <v>75157.9489945493</v>
      </c>
      <c r="E27" s="1" t="n">
        <f aca="false">Tail_bounds!T34</f>
        <v>75157.9489945493</v>
      </c>
      <c r="F27" s="1" t="n">
        <f aca="false">Tail_bounds!U34</f>
        <v>75157.9489945493</v>
      </c>
      <c r="G27" s="1" t="n">
        <f aca="false">Tail_bounds!V34</f>
        <v>75157.9489945493</v>
      </c>
      <c r="H27" s="1" t="n">
        <f aca="false">Tail_bounds!W34</f>
        <v>75157.9489945493</v>
      </c>
      <c r="I27" s="1" t="str">
        <f aca="false">IF(Tail_bounds!AC34=TRUE(),"PROMOTE","de minimis")</f>
        <v>de minimis</v>
      </c>
    </row>
    <row r="28" customFormat="false" ht="15" hidden="false" customHeight="true" outlineLevel="0" collapsed="false">
      <c r="A28" s="1" t="n">
        <f aca="false">Tail_bounds!A35</f>
        <v>27</v>
      </c>
      <c r="B28" s="1" t="str">
        <f aca="false">Tail_bounds!B35</f>
        <v>Permanent Pacemaker Insertion</v>
      </c>
      <c r="C28" s="1" t="s">
        <v>1236</v>
      </c>
      <c r="D28" s="1" t="n">
        <f aca="false">Tail_bounds!S35</f>
        <v>0</v>
      </c>
      <c r="E28" s="1" t="n">
        <f aca="false">Tail_bounds!T35</f>
        <v>7002.29338458533</v>
      </c>
      <c r="F28" s="1" t="n">
        <f aca="false">Tail_bounds!U35</f>
        <v>7002.29338458533</v>
      </c>
      <c r="G28" s="1" t="n">
        <f aca="false">Tail_bounds!V35</f>
        <v>7002.29338458533</v>
      </c>
      <c r="H28" s="1" t="n">
        <f aca="false">Tail_bounds!W35</f>
        <v>7002.29338458533</v>
      </c>
      <c r="I28" s="1" t="str">
        <f aca="false">IF(Tail_bounds!AC35=TRUE(),"PROMOTE","de minimis")</f>
        <v>de minimis</v>
      </c>
    </row>
    <row r="29" customFormat="false" ht="15" hidden="false" customHeight="true" outlineLevel="0" collapsed="false">
      <c r="A29" s="1" t="n">
        <f aca="false">Tail_bounds!A36</f>
        <v>28</v>
      </c>
      <c r="B29" s="1" t="str">
        <f aca="false">Tail_bounds!B36</f>
        <v>Pulmonary Artery Graft / Replacement Surgery</v>
      </c>
      <c r="C29" s="1" t="s">
        <v>1236</v>
      </c>
      <c r="D29" s="1" t="n">
        <f aca="false">Tail_bounds!S36</f>
        <v>75157.9489945493</v>
      </c>
      <c r="E29" s="1" t="n">
        <f aca="false">Tail_bounds!T36</f>
        <v>75157.9489945493</v>
      </c>
      <c r="F29" s="1" t="n">
        <f aca="false">Tail_bounds!U36</f>
        <v>75157.9489945493</v>
      </c>
      <c r="G29" s="1" t="n">
        <f aca="false">Tail_bounds!V36</f>
        <v>75157.9489945493</v>
      </c>
      <c r="H29" s="1" t="n">
        <f aca="false">Tail_bounds!W36</f>
        <v>75157.9489945493</v>
      </c>
      <c r="I29" s="1" t="str">
        <f aca="false">IF(Tail_bounds!AC36=TRUE(),"PROMOTE","de minimis")</f>
        <v>de minimis</v>
      </c>
    </row>
    <row r="30" customFormat="false" ht="15" hidden="false" customHeight="true" outlineLevel="0" collapsed="false">
      <c r="A30" s="1" t="n">
        <f aca="false">Tail_bounds!A38</f>
        <v>30</v>
      </c>
      <c r="B30" s="1" t="str">
        <f aca="false">Tail_bounds!B38</f>
        <v>Cerebral Aneurysm – with Surgical Repair</v>
      </c>
      <c r="C30" s="1" t="s">
        <v>1236</v>
      </c>
      <c r="D30" s="1" t="n">
        <f aca="false">Tail_bounds!S38</f>
        <v>15526.4547303287</v>
      </c>
      <c r="E30" s="1" t="n">
        <f aca="false">Tail_bounds!T38</f>
        <v>0</v>
      </c>
      <c r="F30" s="1" t="n">
        <f aca="false">Tail_bounds!U38</f>
        <v>11644.8410477465</v>
      </c>
      <c r="G30" s="1" t="n">
        <f aca="false">Tail_bounds!V38</f>
        <v>11644.8410477465</v>
      </c>
      <c r="H30" s="1" t="n">
        <f aca="false">Tail_bounds!W38</f>
        <v>11644.8410477465</v>
      </c>
      <c r="I30" s="1" t="str">
        <f aca="false">IF(Tail_bounds!AC38=TRUE(),"PROMOTE","de minimis")</f>
        <v>de minimis</v>
      </c>
    </row>
    <row r="31" customFormat="false" ht="15" hidden="false" customHeight="true" outlineLevel="0" collapsed="false">
      <c r="A31" s="1" t="n">
        <f aca="false">Tail_bounds!A39</f>
        <v>31</v>
      </c>
      <c r="B31" s="1" t="str">
        <f aca="false">Tail_bounds!B39</f>
        <v>Cerebral Arteriovenous Malformation – Requiring Surgery</v>
      </c>
      <c r="C31" s="1" t="s">
        <v>1236</v>
      </c>
      <c r="D31" s="1" t="n">
        <f aca="false">Tail_bounds!S39</f>
        <v>15526.4547303287</v>
      </c>
      <c r="E31" s="1" t="n">
        <f aca="false">Tail_bounds!T39</f>
        <v>0</v>
      </c>
      <c r="F31" s="1" t="n">
        <f aca="false">Tail_bounds!U39</f>
        <v>11644.8410477465</v>
      </c>
      <c r="G31" s="1" t="n">
        <f aca="false">Tail_bounds!V39</f>
        <v>11644.8410477465</v>
      </c>
      <c r="H31" s="1" t="n">
        <f aca="false">Tail_bounds!W39</f>
        <v>11644.8410477465</v>
      </c>
      <c r="I31" s="1" t="str">
        <f aca="false">IF(Tail_bounds!AC39=TRUE(),"PROMOTE","de minimis")</f>
        <v>de minimis</v>
      </c>
    </row>
    <row r="32" customFormat="false" ht="15" hidden="false" customHeight="true" outlineLevel="0" collapsed="false">
      <c r="A32" s="1" t="n">
        <f aca="false">Tail_bounds!A40</f>
        <v>32</v>
      </c>
      <c r="B32" s="1" t="str">
        <f aca="false">Tail_bounds!B40</f>
        <v>Cerebral or Spinal Aneurysm – with Surgical Repair</v>
      </c>
      <c r="C32" s="1" t="s">
        <v>1236</v>
      </c>
      <c r="D32" s="1" t="n">
        <f aca="false">Tail_bounds!S40</f>
        <v>0</v>
      </c>
      <c r="E32" s="1" t="n">
        <f aca="false">Tail_bounds!T40</f>
        <v>11644.8410477465</v>
      </c>
      <c r="F32" s="1" t="n">
        <f aca="false">Tail_bounds!U40</f>
        <v>11644.8410477465</v>
      </c>
      <c r="G32" s="1" t="n">
        <f aca="false">Tail_bounds!V40</f>
        <v>11644.8410477465</v>
      </c>
      <c r="H32" s="1" t="n">
        <f aca="false">Tail_bounds!W40</f>
        <v>0</v>
      </c>
      <c r="I32" s="1" t="str">
        <f aca="false">IF(Tail_bounds!AC40=TRUE(),"PROMOTE","de minimis")</f>
        <v>de minimis</v>
      </c>
    </row>
    <row r="33" customFormat="false" ht="15" hidden="false" customHeight="true" outlineLevel="0" collapsed="false">
      <c r="A33" s="1" t="n">
        <f aca="false">Tail_bounds!A41</f>
        <v>33</v>
      </c>
      <c r="B33" s="1" t="str">
        <f aca="false">Tail_bounds!B41</f>
        <v>Cerebral or Spinal Arteriovenous Malformation – Requiring Surgery</v>
      </c>
      <c r="C33" s="1" t="s">
        <v>1236</v>
      </c>
      <c r="D33" s="1" t="n">
        <f aca="false">Tail_bounds!S41</f>
        <v>0</v>
      </c>
      <c r="E33" s="1" t="n">
        <f aca="false">Tail_bounds!T41</f>
        <v>11644.8410477465</v>
      </c>
      <c r="F33" s="1" t="n">
        <f aca="false">Tail_bounds!U41</f>
        <v>0</v>
      </c>
      <c r="G33" s="1" t="n">
        <f aca="false">Tail_bounds!V41</f>
        <v>11644.8410477465</v>
      </c>
      <c r="H33" s="1" t="n">
        <f aca="false">Tail_bounds!W41</f>
        <v>0</v>
      </c>
      <c r="I33" s="1" t="str">
        <f aca="false">IF(Tail_bounds!AC41=TRUE(),"PROMOTE","de minimis")</f>
        <v>de minimis</v>
      </c>
    </row>
    <row r="34" customFormat="false" ht="15" hidden="false" customHeight="true" outlineLevel="0" collapsed="false">
      <c r="A34" s="1" t="n">
        <f aca="false">Tail_bounds!A43</f>
        <v>36</v>
      </c>
      <c r="B34" s="1" t="str">
        <f aca="false">Tail_bounds!B43</f>
        <v>Central Retinal Artery/Vein Occlusion (Eye Stroke)</v>
      </c>
      <c r="C34" s="1" t="s">
        <v>1236</v>
      </c>
      <c r="D34" s="1" t="n">
        <f aca="false">Tail_bounds!S43</f>
        <v>5778.58105739369</v>
      </c>
      <c r="E34" s="1" t="n">
        <f aca="false">Tail_bounds!T43</f>
        <v>4333.93579304527</v>
      </c>
      <c r="F34" s="1" t="n">
        <f aca="false">Tail_bounds!U43</f>
        <v>4333.93579304527</v>
      </c>
      <c r="G34" s="1" t="n">
        <f aca="false">Tail_bounds!V43</f>
        <v>4333.93579304527</v>
      </c>
      <c r="H34" s="1" t="n">
        <f aca="false">Tail_bounds!W43</f>
        <v>4333.93579304527</v>
      </c>
      <c r="I34" s="1" t="str">
        <f aca="false">IF(Tail_bounds!AC43=TRUE(),"PROMOTE","de minimis")</f>
        <v>de minimis</v>
      </c>
    </row>
    <row r="35" customFormat="false" ht="15" hidden="false" customHeight="true" outlineLevel="0" collapsed="false">
      <c r="A35" s="1" t="n">
        <f aca="false">Tail_bounds!A58</f>
        <v>51</v>
      </c>
      <c r="B35" s="1" t="str">
        <f aca="false">Tail_bounds!B58</f>
        <v>Crohn's Disease – Severe / with Surgical Resection</v>
      </c>
      <c r="C35" s="1" t="s">
        <v>1236</v>
      </c>
      <c r="D35" s="1" t="n">
        <f aca="false">Tail_bounds!S58</f>
        <v>39812.9024501554</v>
      </c>
      <c r="E35" s="1" t="n">
        <f aca="false">Tail_bounds!T58</f>
        <v>39812.9024501554</v>
      </c>
      <c r="F35" s="1" t="n">
        <f aca="false">Tail_bounds!U58</f>
        <v>39812.9024501554</v>
      </c>
      <c r="G35" s="1" t="n">
        <f aca="false">Tail_bounds!V58</f>
        <v>39812.9024501554</v>
      </c>
      <c r="H35" s="1" t="n">
        <f aca="false">Tail_bounds!W58</f>
        <v>39812.9024501554</v>
      </c>
      <c r="I35" s="1" t="str">
        <f aca="false">IF(Tail_bounds!AC58=TRUE(),"PROMOTE","de minimis")</f>
        <v>de minimis</v>
      </c>
    </row>
    <row r="36" customFormat="false" ht="15" hidden="false" customHeight="true" outlineLevel="0" collapsed="false">
      <c r="A36" s="1" t="n">
        <f aca="false">Tail_bounds!A60</f>
        <v>53</v>
      </c>
      <c r="B36" s="1" t="str">
        <f aca="false">Tail_bounds!B60</f>
        <v>Ulcerative Colitis – Treated with Total Colectomy</v>
      </c>
      <c r="C36" s="1" t="s">
        <v>1236</v>
      </c>
      <c r="D36" s="1" t="n">
        <f aca="false">Tail_bounds!S60</f>
        <v>4945.70216772117</v>
      </c>
      <c r="E36" s="1" t="n">
        <f aca="false">Tail_bounds!T60</f>
        <v>3709.27662579088</v>
      </c>
      <c r="F36" s="1" t="n">
        <f aca="false">Tail_bounds!U60</f>
        <v>3709.27662579088</v>
      </c>
      <c r="G36" s="1" t="n">
        <f aca="false">Tail_bounds!V60</f>
        <v>3709.27662579088</v>
      </c>
      <c r="H36" s="1" t="n">
        <f aca="false">Tail_bounds!W60</f>
        <v>3709.27662579088</v>
      </c>
      <c r="I36" s="1" t="str">
        <f aca="false">IF(Tail_bounds!AC60=TRUE(),"PROMOTE","de minimis")</f>
        <v>de minimis</v>
      </c>
    </row>
    <row r="37" customFormat="false" ht="15" hidden="false" customHeight="true" outlineLevel="0" collapsed="false">
      <c r="A37" s="1" t="n">
        <f aca="false">Tail_bounds!A61</f>
        <v>54</v>
      </c>
      <c r="B37" s="1" t="str">
        <f aca="false">Tail_bounds!B61</f>
        <v>Aplastic Anaemia – of Specified Severity</v>
      </c>
      <c r="C37" s="1" t="s">
        <v>1236</v>
      </c>
      <c r="D37" s="1" t="n">
        <f aca="false">Tail_bounds!S61</f>
        <v>46397.3767615704</v>
      </c>
      <c r="E37" s="1" t="n">
        <f aca="false">Tail_bounds!T61</f>
        <v>46397.3767615704</v>
      </c>
      <c r="F37" s="1" t="n">
        <f aca="false">Tail_bounds!U61</f>
        <v>46397.3767615704</v>
      </c>
      <c r="G37" s="1" t="n">
        <f aca="false">Tail_bounds!V61</f>
        <v>46397.3767615704</v>
      </c>
      <c r="H37" s="1" t="n">
        <f aca="false">Tail_bounds!W61</f>
        <v>46397.3767615704</v>
      </c>
      <c r="I37" s="1" t="str">
        <f aca="false">IF(Tail_bounds!AC61=TRUE(),"PROMOTE","de minimis")</f>
        <v>de minimis</v>
      </c>
    </row>
    <row r="38" customFormat="false" ht="15" hidden="false" customHeight="true" outlineLevel="0" collapsed="false">
      <c r="A38" s="1" t="n">
        <f aca="false">Tail_bounds!A64</f>
        <v>57</v>
      </c>
      <c r="B38" s="1" t="str">
        <f aca="false">Tail_bounds!B64</f>
        <v>Liver Resection</v>
      </c>
      <c r="C38" s="1" t="s">
        <v>1236</v>
      </c>
      <c r="D38" s="1" t="n">
        <f aca="false">Tail_bounds!S64</f>
        <v>28959.3971498387</v>
      </c>
      <c r="E38" s="1" t="n">
        <f aca="false">Tail_bounds!T64</f>
        <v>21719.547862379</v>
      </c>
      <c r="F38" s="1" t="n">
        <f aca="false">Tail_bounds!U64</f>
        <v>21719.547862379</v>
      </c>
      <c r="G38" s="1" t="n">
        <f aca="false">Tail_bounds!V64</f>
        <v>21719.547862379</v>
      </c>
      <c r="H38" s="1" t="n">
        <f aca="false">Tail_bounds!W64</f>
        <v>21719.547862379</v>
      </c>
      <c r="I38" s="1" t="str">
        <f aca="false">IF(Tail_bounds!AC64=TRUE(),"PROMOTE","de minimis")</f>
        <v>de minimis</v>
      </c>
    </row>
    <row r="39" customFormat="false" ht="15" hidden="false" customHeight="true" outlineLevel="0" collapsed="false">
      <c r="A39" s="1" t="n">
        <f aca="false">Tail_bounds!A82</f>
        <v>76</v>
      </c>
      <c r="B39" s="1" t="str">
        <f aca="false">Tail_bounds!B82</f>
        <v>Syringomyelia or Syringobulbia</v>
      </c>
      <c r="C39" s="1" t="s">
        <v>1236</v>
      </c>
      <c r="D39" s="1" t="n">
        <f aca="false">Tail_bounds!S82</f>
        <v>6341.08789789098</v>
      </c>
      <c r="E39" s="1" t="n">
        <f aca="false">Tail_bounds!T82</f>
        <v>4755.81592341824</v>
      </c>
      <c r="F39" s="1" t="n">
        <f aca="false">Tail_bounds!U82</f>
        <v>51045.7575780224</v>
      </c>
      <c r="G39" s="1" t="n">
        <f aca="false">Tail_bounds!V82</f>
        <v>51045.7575780224</v>
      </c>
      <c r="H39" s="1" t="n">
        <f aca="false">Tail_bounds!W82</f>
        <v>4755.81592341824</v>
      </c>
      <c r="I39" s="1" t="str">
        <f aca="false">IF(Tail_bounds!AC82=TRUE(),"PROMOTE","de minimis")</f>
        <v>de minimis</v>
      </c>
    </row>
    <row r="40" customFormat="false" ht="15" hidden="false" customHeight="true" outlineLevel="0" collapsed="false">
      <c r="A40" s="1" t="n">
        <f aca="false">Tail_bounds!A87</f>
        <v>81</v>
      </c>
      <c r="B40" s="1" t="str">
        <f aca="false">Tail_bounds!B87</f>
        <v>Brain Abscess – Drained via Craniotomy</v>
      </c>
      <c r="C40" s="1" t="s">
        <v>1236</v>
      </c>
      <c r="D40" s="1" t="n">
        <f aca="false">Tail_bounds!S87</f>
        <v>6341.08789789098</v>
      </c>
      <c r="E40" s="1" t="n">
        <f aca="false">Tail_bounds!T87</f>
        <v>4755.81592341824</v>
      </c>
      <c r="F40" s="1" t="n">
        <f aca="false">Tail_bounds!U87</f>
        <v>51045.7575780224</v>
      </c>
      <c r="G40" s="1" t="n">
        <f aca="false">Tail_bounds!V87</f>
        <v>51045.7575780224</v>
      </c>
      <c r="H40" s="1" t="n">
        <f aca="false">Tail_bounds!W87</f>
        <v>4755.81592341824</v>
      </c>
      <c r="I40" s="1" t="str">
        <f aca="false">IF(Tail_bounds!AC87=TRUE(),"PROMOTE","de minimis")</f>
        <v>de minimis</v>
      </c>
    </row>
    <row r="41" customFormat="false" ht="15" hidden="false" customHeight="true" outlineLevel="0" collapsed="false">
      <c r="A41" s="1" t="n">
        <f aca="false">Tail_bounds!A91</f>
        <v>85</v>
      </c>
      <c r="B41" s="1" t="str">
        <f aca="false">Tail_bounds!B91</f>
        <v>Pituitary Gland Tumour</v>
      </c>
      <c r="C41" s="1" t="s">
        <v>1236</v>
      </c>
      <c r="D41" s="1" t="n">
        <f aca="false">Tail_bounds!S91</f>
        <v>6676.41108374681</v>
      </c>
      <c r="E41" s="1" t="n">
        <f aca="false">Tail_bounds!T91</f>
        <v>5007.30831281011</v>
      </c>
      <c r="F41" s="1" t="n">
        <f aca="false">Tail_bounds!U91</f>
        <v>5007.30831281011</v>
      </c>
      <c r="G41" s="1" t="n">
        <f aca="false">Tail_bounds!V91</f>
        <v>5007.30831281011</v>
      </c>
      <c r="H41" s="1" t="n">
        <f aca="false">Tail_bounds!W91</f>
        <v>5007.30831281011</v>
      </c>
      <c r="I41" s="1" t="str">
        <f aca="false">IF(Tail_bounds!AC91=TRUE(),"PROMOTE","de minimis")</f>
        <v>de minimis</v>
      </c>
    </row>
    <row r="42" customFormat="false" ht="15" hidden="false" customHeight="true" outlineLevel="0" collapsed="false">
      <c r="A42" s="1" t="n">
        <f aca="false">Tail_bounds!A92</f>
        <v>86</v>
      </c>
      <c r="B42" s="1" t="str">
        <f aca="false">Tail_bounds!B92</f>
        <v>Traumatic Brain / Head Injury – Resulting in Permanent Symptoms</v>
      </c>
      <c r="C42" s="1" t="s">
        <v>1236</v>
      </c>
      <c r="D42" s="1" t="n">
        <f aca="false">Tail_bounds!S92</f>
        <v>3392.12582151684</v>
      </c>
      <c r="E42" s="1" t="n">
        <f aca="false">Tail_bounds!T92</f>
        <v>3392.12582151684</v>
      </c>
      <c r="F42" s="1" t="n">
        <f aca="false">Tail_bounds!U92</f>
        <v>3392.12582151684</v>
      </c>
      <c r="G42" s="1" t="n">
        <f aca="false">Tail_bounds!V92</f>
        <v>3392.12582151684</v>
      </c>
      <c r="H42" s="1" t="n">
        <f aca="false">Tail_bounds!W92</f>
        <v>3392.12582151684</v>
      </c>
      <c r="I42" s="1" t="str">
        <f aca="false">IF(Tail_bounds!AC92=TRUE(),"PROMOTE","de minimis")</f>
        <v>de minimis</v>
      </c>
    </row>
    <row r="43" customFormat="false" ht="15" hidden="false" customHeight="true" outlineLevel="0" collapsed="false">
      <c r="A43" s="1" t="n">
        <f aca="false">Tail_bounds!A93</f>
        <v>88</v>
      </c>
      <c r="B43" s="1" t="str">
        <f aca="false">Tail_bounds!B93</f>
        <v>Carcinoma in Situ – Anus</v>
      </c>
      <c r="C43" s="1" t="s">
        <v>1236</v>
      </c>
      <c r="D43" s="1" t="n">
        <f aca="false">Tail_bounds!S93</f>
        <v>1280.00841592004</v>
      </c>
      <c r="E43" s="1" t="n">
        <f aca="false">Tail_bounds!T93</f>
        <v>960.006311940029</v>
      </c>
      <c r="F43" s="1" t="n">
        <f aca="false">Tail_bounds!U93</f>
        <v>0</v>
      </c>
      <c r="G43" s="1" t="n">
        <f aca="false">Tail_bounds!V93</f>
        <v>960.006311940029</v>
      </c>
      <c r="H43" s="1" t="n">
        <f aca="false">Tail_bounds!W93</f>
        <v>960.006311940029</v>
      </c>
      <c r="I43" s="1" t="str">
        <f aca="false">IF(Tail_bounds!AC93=TRUE(),"PROMOTE","de minimis")</f>
        <v>de minimis</v>
      </c>
    </row>
    <row r="44" customFormat="false" ht="15" hidden="false" customHeight="true" outlineLevel="0" collapsed="false">
      <c r="A44" s="1" t="n">
        <f aca="false">Tail_bounds!A94</f>
        <v>89</v>
      </c>
      <c r="B44" s="1" t="str">
        <f aca="false">Tail_bounds!B94</f>
        <v>Carcinoma in Situ – Bile Ducts</v>
      </c>
      <c r="C44" s="1" t="s">
        <v>1236</v>
      </c>
      <c r="D44" s="1" t="n">
        <f aca="false">Tail_bounds!S94</f>
        <v>1280.00841592004</v>
      </c>
      <c r="E44" s="1" t="n">
        <f aca="false">Tail_bounds!T94</f>
        <v>0</v>
      </c>
      <c r="F44" s="1" t="n">
        <f aca="false">Tail_bounds!U94</f>
        <v>0</v>
      </c>
      <c r="G44" s="1" t="n">
        <f aca="false">Tail_bounds!V94</f>
        <v>960.006311940029</v>
      </c>
      <c r="H44" s="1" t="n">
        <f aca="false">Tail_bounds!W94</f>
        <v>960.006311940029</v>
      </c>
      <c r="I44" s="1" t="str">
        <f aca="false">IF(Tail_bounds!AC94=TRUE(),"PROMOTE","de minimis")</f>
        <v>de minimis</v>
      </c>
    </row>
    <row r="45" customFormat="false" ht="15" hidden="false" customHeight="true" outlineLevel="0" collapsed="false">
      <c r="A45" s="1" t="n">
        <f aca="false">Tail_bounds!A95</f>
        <v>91</v>
      </c>
      <c r="B45" s="1" t="str">
        <f aca="false">Tail_bounds!B95</f>
        <v>Carcinoma in Situ – Cervix</v>
      </c>
      <c r="C45" s="1" t="s">
        <v>1236</v>
      </c>
      <c r="D45" s="1" t="n">
        <f aca="false">Tail_bounds!S95</f>
        <v>1280.00841592004</v>
      </c>
      <c r="E45" s="1" t="n">
        <f aca="false">Tail_bounds!T95</f>
        <v>960.006311940029</v>
      </c>
      <c r="F45" s="1" t="n">
        <f aca="false">Tail_bounds!U95</f>
        <v>960.006311940029</v>
      </c>
      <c r="G45" s="1" t="n">
        <f aca="false">Tail_bounds!V95</f>
        <v>960.006311940029</v>
      </c>
      <c r="H45" s="1" t="n">
        <f aca="false">Tail_bounds!W95</f>
        <v>960.006311940029</v>
      </c>
      <c r="I45" s="1" t="str">
        <f aca="false">IF(Tail_bounds!AC95=TRUE(),"PROMOTE","de minimis")</f>
        <v>de minimis</v>
      </c>
    </row>
    <row r="46" customFormat="false" ht="15" hidden="false" customHeight="true" outlineLevel="0" collapsed="false">
      <c r="A46" s="1" t="n">
        <f aca="false">Tail_bounds!A96</f>
        <v>92</v>
      </c>
      <c r="B46" s="1" t="str">
        <f aca="false">Tail_bounds!B96</f>
        <v>Carcinoma in Situ – Colon or Rectum</v>
      </c>
      <c r="C46" s="1" t="s">
        <v>1236</v>
      </c>
      <c r="D46" s="1" t="n">
        <f aca="false">Tail_bounds!S96</f>
        <v>1280.00841592004</v>
      </c>
      <c r="E46" s="1" t="n">
        <f aca="false">Tail_bounds!T96</f>
        <v>960.006311940029</v>
      </c>
      <c r="F46" s="1" t="n">
        <f aca="false">Tail_bounds!U96</f>
        <v>960.006311940029</v>
      </c>
      <c r="G46" s="1" t="n">
        <f aca="false">Tail_bounds!V96</f>
        <v>960.006311940029</v>
      </c>
      <c r="H46" s="1" t="n">
        <f aca="false">Tail_bounds!W96</f>
        <v>960.006311940029</v>
      </c>
      <c r="I46" s="1" t="str">
        <f aca="false">IF(Tail_bounds!AC96=TRUE(),"PROMOTE","de minimis")</f>
        <v>de minimis</v>
      </c>
    </row>
    <row r="47" customFormat="false" ht="15" hidden="false" customHeight="true" outlineLevel="0" collapsed="false">
      <c r="A47" s="1" t="n">
        <f aca="false">Tail_bounds!A97</f>
        <v>93</v>
      </c>
      <c r="B47" s="1" t="str">
        <f aca="false">Tail_bounds!B97</f>
        <v>Carcinoma in Situ – Gallbladder</v>
      </c>
      <c r="C47" s="1" t="s">
        <v>1236</v>
      </c>
      <c r="D47" s="1" t="n">
        <f aca="false">Tail_bounds!S97</f>
        <v>1280.00841592004</v>
      </c>
      <c r="E47" s="1" t="n">
        <f aca="false">Tail_bounds!T97</f>
        <v>0</v>
      </c>
      <c r="F47" s="1" t="n">
        <f aca="false">Tail_bounds!U97</f>
        <v>0</v>
      </c>
      <c r="G47" s="1" t="n">
        <f aca="false">Tail_bounds!V97</f>
        <v>960.006311940029</v>
      </c>
      <c r="H47" s="1" t="n">
        <f aca="false">Tail_bounds!W97</f>
        <v>960.006311940029</v>
      </c>
      <c r="I47" s="1" t="str">
        <f aca="false">IF(Tail_bounds!AC97=TRUE(),"PROMOTE","de minimis")</f>
        <v>de minimis</v>
      </c>
    </row>
    <row r="48" customFormat="false" ht="15" hidden="false" customHeight="true" outlineLevel="0" collapsed="false">
      <c r="A48" s="1" t="n">
        <f aca="false">Tail_bounds!A98</f>
        <v>94</v>
      </c>
      <c r="B48" s="1" t="str">
        <f aca="false">Tail_bounds!B98</f>
        <v>Carcinoma in Situ – Larynx</v>
      </c>
      <c r="C48" s="1" t="s">
        <v>1236</v>
      </c>
      <c r="D48" s="1" t="n">
        <f aca="false">Tail_bounds!S98</f>
        <v>1280.00841592004</v>
      </c>
      <c r="E48" s="1" t="n">
        <f aca="false">Tail_bounds!T98</f>
        <v>960.006311940029</v>
      </c>
      <c r="F48" s="1" t="n">
        <f aca="false">Tail_bounds!U98</f>
        <v>0</v>
      </c>
      <c r="G48" s="1" t="n">
        <f aca="false">Tail_bounds!V98</f>
        <v>960.006311940029</v>
      </c>
      <c r="H48" s="1" t="n">
        <f aca="false">Tail_bounds!W98</f>
        <v>960.006311940029</v>
      </c>
      <c r="I48" s="1" t="str">
        <f aca="false">IF(Tail_bounds!AC98=TRUE(),"PROMOTE","de minimis")</f>
        <v>de minimis</v>
      </c>
    </row>
    <row r="49" customFormat="false" ht="15" hidden="false" customHeight="true" outlineLevel="0" collapsed="false">
      <c r="A49" s="1" t="n">
        <f aca="false">Tail_bounds!A99</f>
        <v>95</v>
      </c>
      <c r="B49" s="1" t="str">
        <f aca="false">Tail_bounds!B99</f>
        <v>Carcinoma in Situ – Lung/Bronchus</v>
      </c>
      <c r="C49" s="1" t="s">
        <v>1236</v>
      </c>
      <c r="D49" s="1" t="n">
        <f aca="false">Tail_bounds!S99</f>
        <v>1280.00841592004</v>
      </c>
      <c r="E49" s="1" t="n">
        <f aca="false">Tail_bounds!T99</f>
        <v>960.006311940029</v>
      </c>
      <c r="F49" s="1" t="n">
        <f aca="false">Tail_bounds!U99</f>
        <v>0</v>
      </c>
      <c r="G49" s="1" t="n">
        <f aca="false">Tail_bounds!V99</f>
        <v>960.006311940029</v>
      </c>
      <c r="H49" s="1" t="n">
        <f aca="false">Tail_bounds!W99</f>
        <v>960.006311940029</v>
      </c>
      <c r="I49" s="1" t="str">
        <f aca="false">IF(Tail_bounds!AC99=TRUE(),"PROMOTE","de minimis")</f>
        <v>de minimis</v>
      </c>
    </row>
    <row r="50" customFormat="false" ht="15" hidden="false" customHeight="true" outlineLevel="0" collapsed="false">
      <c r="A50" s="1" t="n">
        <f aca="false">Tail_bounds!A100</f>
        <v>96</v>
      </c>
      <c r="B50" s="1" t="str">
        <f aca="false">Tail_bounds!B100</f>
        <v>Carcinoma in Situ – Oesophagus</v>
      </c>
      <c r="C50" s="1" t="s">
        <v>1236</v>
      </c>
      <c r="D50" s="1" t="n">
        <f aca="false">Tail_bounds!S100</f>
        <v>1280.00841592004</v>
      </c>
      <c r="E50" s="1" t="n">
        <f aca="false">Tail_bounds!T100</f>
        <v>960.006311940029</v>
      </c>
      <c r="F50" s="1" t="n">
        <f aca="false">Tail_bounds!U100</f>
        <v>960.006311940029</v>
      </c>
      <c r="G50" s="1" t="n">
        <f aca="false">Tail_bounds!V100</f>
        <v>960.006311940029</v>
      </c>
      <c r="H50" s="1" t="n">
        <f aca="false">Tail_bounds!W100</f>
        <v>960.006311940029</v>
      </c>
      <c r="I50" s="1" t="str">
        <f aca="false">IF(Tail_bounds!AC100=TRUE(),"PROMOTE","de minimis")</f>
        <v>de minimis</v>
      </c>
    </row>
    <row r="51" customFormat="false" ht="15" hidden="false" customHeight="true" outlineLevel="0" collapsed="false">
      <c r="A51" s="1" t="n">
        <f aca="false">Tail_bounds!A101</f>
        <v>97</v>
      </c>
      <c r="B51" s="1" t="str">
        <f aca="false">Tail_bounds!B101</f>
        <v>Carcinoma in Situ – Oral Cavity/Oropharynx</v>
      </c>
      <c r="C51" s="1" t="s">
        <v>1236</v>
      </c>
      <c r="D51" s="1" t="n">
        <f aca="false">Tail_bounds!S101</f>
        <v>1280.00841592004</v>
      </c>
      <c r="E51" s="1" t="n">
        <f aca="false">Tail_bounds!T101</f>
        <v>960.006311940029</v>
      </c>
      <c r="F51" s="1" t="n">
        <f aca="false">Tail_bounds!U101</f>
        <v>960.006311940029</v>
      </c>
      <c r="G51" s="1" t="n">
        <f aca="false">Tail_bounds!V101</f>
        <v>960.006311940029</v>
      </c>
      <c r="H51" s="1" t="n">
        <f aca="false">Tail_bounds!W101</f>
        <v>960.006311940029</v>
      </c>
      <c r="I51" s="1" t="str">
        <f aca="false">IF(Tail_bounds!AC101=TRUE(),"PROMOTE","de minimis")</f>
        <v>de minimis</v>
      </c>
    </row>
    <row r="52" customFormat="false" ht="15" hidden="false" customHeight="true" outlineLevel="0" collapsed="false">
      <c r="A52" s="1" t="n">
        <f aca="false">Tail_bounds!A102</f>
        <v>98</v>
      </c>
      <c r="B52" s="1" t="str">
        <f aca="false">Tail_bounds!B102</f>
        <v>Carcinoma in Situ – Other Sites</v>
      </c>
      <c r="C52" s="1" t="s">
        <v>1236</v>
      </c>
      <c r="D52" s="1" t="n">
        <f aca="false">Tail_bounds!S102</f>
        <v>0</v>
      </c>
      <c r="E52" s="1" t="n">
        <f aca="false">Tail_bounds!T102</f>
        <v>960.006311940029</v>
      </c>
      <c r="F52" s="1" t="n">
        <f aca="false">Tail_bounds!U102</f>
        <v>960.006311940029</v>
      </c>
      <c r="G52" s="1" t="n">
        <f aca="false">Tail_bounds!V102</f>
        <v>960.006311940029</v>
      </c>
      <c r="H52" s="1" t="n">
        <f aca="false">Tail_bounds!W102</f>
        <v>960.006311940029</v>
      </c>
      <c r="I52" s="1" t="str">
        <f aca="false">IF(Tail_bounds!AC102=TRUE(),"PROMOTE","de minimis")</f>
        <v>de minimis</v>
      </c>
    </row>
    <row r="53" customFormat="false" ht="15" hidden="false" customHeight="true" outlineLevel="0" collapsed="false">
      <c r="A53" s="1" t="n">
        <f aca="false">Tail_bounds!A103</f>
        <v>99</v>
      </c>
      <c r="B53" s="1" t="str">
        <f aca="false">Tail_bounds!B103</f>
        <v>Carcinoma in Situ – Pancreas</v>
      </c>
      <c r="C53" s="1" t="s">
        <v>1236</v>
      </c>
      <c r="D53" s="1" t="n">
        <f aca="false">Tail_bounds!S103</f>
        <v>1280.00841592004</v>
      </c>
      <c r="E53" s="1" t="n">
        <f aca="false">Tail_bounds!T103</f>
        <v>0</v>
      </c>
      <c r="F53" s="1" t="n">
        <f aca="false">Tail_bounds!U103</f>
        <v>0</v>
      </c>
      <c r="G53" s="1" t="n">
        <f aca="false">Tail_bounds!V103</f>
        <v>960.006311940029</v>
      </c>
      <c r="H53" s="1" t="n">
        <f aca="false">Tail_bounds!W103</f>
        <v>960.006311940029</v>
      </c>
      <c r="I53" s="1" t="str">
        <f aca="false">IF(Tail_bounds!AC103=TRUE(),"PROMOTE","de minimis")</f>
        <v>de minimis</v>
      </c>
    </row>
    <row r="54" customFormat="false" ht="15" hidden="false" customHeight="true" outlineLevel="0" collapsed="false">
      <c r="A54" s="1" t="n">
        <f aca="false">Tail_bounds!A104</f>
        <v>100</v>
      </c>
      <c r="B54" s="1" t="str">
        <f aca="false">Tail_bounds!B104</f>
        <v>Carcinoma in Situ – Renal Pelvis/Ureter</v>
      </c>
      <c r="C54" s="1" t="s">
        <v>1236</v>
      </c>
      <c r="D54" s="1" t="n">
        <f aca="false">Tail_bounds!S104</f>
        <v>1280.00841592004</v>
      </c>
      <c r="E54" s="1" t="n">
        <f aca="false">Tail_bounds!T104</f>
        <v>960.006311940029</v>
      </c>
      <c r="F54" s="1" t="n">
        <f aca="false">Tail_bounds!U104</f>
        <v>0</v>
      </c>
      <c r="G54" s="1" t="n">
        <f aca="false">Tail_bounds!V104</f>
        <v>960.006311940029</v>
      </c>
      <c r="H54" s="1" t="n">
        <f aca="false">Tail_bounds!W104</f>
        <v>960.006311940029</v>
      </c>
      <c r="I54" s="1" t="str">
        <f aca="false">IF(Tail_bounds!AC104=TRUE(),"PROMOTE","de minimis")</f>
        <v>de minimis</v>
      </c>
    </row>
    <row r="55" customFormat="false" ht="15" hidden="false" customHeight="true" outlineLevel="0" collapsed="false">
      <c r="A55" s="1" t="n">
        <f aca="false">Tail_bounds!A105</f>
        <v>101</v>
      </c>
      <c r="B55" s="1" t="str">
        <f aca="false">Tail_bounds!B105</f>
        <v>Carcinoma in Situ – Stomach</v>
      </c>
      <c r="C55" s="1" t="s">
        <v>1236</v>
      </c>
      <c r="D55" s="1" t="n">
        <f aca="false">Tail_bounds!S105</f>
        <v>1280.00841592004</v>
      </c>
      <c r="E55" s="1" t="n">
        <f aca="false">Tail_bounds!T105</f>
        <v>0</v>
      </c>
      <c r="F55" s="1" t="n">
        <f aca="false">Tail_bounds!U105</f>
        <v>0</v>
      </c>
      <c r="G55" s="1" t="n">
        <f aca="false">Tail_bounds!V105</f>
        <v>960.006311940029</v>
      </c>
      <c r="H55" s="1" t="n">
        <f aca="false">Tail_bounds!W105</f>
        <v>960.006311940029</v>
      </c>
      <c r="I55" s="1" t="str">
        <f aca="false">IF(Tail_bounds!AC105=TRUE(),"PROMOTE","de minimis")</f>
        <v>de minimis</v>
      </c>
    </row>
    <row r="56" customFormat="false" ht="15" hidden="false" customHeight="true" outlineLevel="0" collapsed="false">
      <c r="A56" s="1" t="n">
        <f aca="false">Tail_bounds!A106</f>
        <v>102</v>
      </c>
      <c r="B56" s="1" t="str">
        <f aca="false">Tail_bounds!B106</f>
        <v>Carcinoma in Situ – Testicle</v>
      </c>
      <c r="C56" s="1" t="s">
        <v>1236</v>
      </c>
      <c r="D56" s="1" t="n">
        <f aca="false">Tail_bounds!S106</f>
        <v>1280.00841592004</v>
      </c>
      <c r="E56" s="1" t="n">
        <f aca="false">Tail_bounds!T106</f>
        <v>960.006311940029</v>
      </c>
      <c r="F56" s="1" t="n">
        <f aca="false">Tail_bounds!U106</f>
        <v>960.006311940029</v>
      </c>
      <c r="G56" s="1" t="n">
        <f aca="false">Tail_bounds!V106</f>
        <v>960.006311940029</v>
      </c>
      <c r="H56" s="1" t="n">
        <f aca="false">Tail_bounds!W106</f>
        <v>960.006311940029</v>
      </c>
      <c r="I56" s="1" t="str">
        <f aca="false">IF(Tail_bounds!AC106=TRUE(),"PROMOTE","de minimis")</f>
        <v>de minimis</v>
      </c>
    </row>
    <row r="57" customFormat="false" ht="15" hidden="false" customHeight="true" outlineLevel="0" collapsed="false">
      <c r="A57" s="1" t="n">
        <f aca="false">Tail_bounds!A107</f>
        <v>103</v>
      </c>
      <c r="B57" s="1" t="str">
        <f aca="false">Tail_bounds!B107</f>
        <v>Carcinoma in Situ – Thymus</v>
      </c>
      <c r="C57" s="1" t="s">
        <v>1236</v>
      </c>
      <c r="D57" s="1" t="n">
        <f aca="false">Tail_bounds!S107</f>
        <v>1280.00841592004</v>
      </c>
      <c r="E57" s="1" t="n">
        <f aca="false">Tail_bounds!T107</f>
        <v>0</v>
      </c>
      <c r="F57" s="1" t="n">
        <f aca="false">Tail_bounds!U107</f>
        <v>0</v>
      </c>
      <c r="G57" s="1" t="n">
        <f aca="false">Tail_bounds!V107</f>
        <v>960.006311940029</v>
      </c>
      <c r="H57" s="1" t="n">
        <f aca="false">Tail_bounds!W107</f>
        <v>960.006311940029</v>
      </c>
      <c r="I57" s="1" t="str">
        <f aca="false">IF(Tail_bounds!AC107=TRUE(),"PROMOTE","de minimis")</f>
        <v>de minimis</v>
      </c>
    </row>
    <row r="58" customFormat="false" ht="15" hidden="false" customHeight="true" outlineLevel="0" collapsed="false">
      <c r="A58" s="1" t="n">
        <f aca="false">Tail_bounds!A108</f>
        <v>104</v>
      </c>
      <c r="B58" s="1" t="str">
        <f aca="false">Tail_bounds!B108</f>
        <v>Carcinoma in Situ – Urinary Bladder</v>
      </c>
      <c r="C58" s="1" t="s">
        <v>1236</v>
      </c>
      <c r="D58" s="1" t="n">
        <f aca="false">Tail_bounds!S108</f>
        <v>1280.00841592004</v>
      </c>
      <c r="E58" s="1" t="n">
        <f aca="false">Tail_bounds!T108</f>
        <v>960.006311940029</v>
      </c>
      <c r="F58" s="1" t="n">
        <f aca="false">Tail_bounds!U108</f>
        <v>960.006311940029</v>
      </c>
      <c r="G58" s="1" t="n">
        <f aca="false">Tail_bounds!V108</f>
        <v>960.006311940029</v>
      </c>
      <c r="H58" s="1" t="n">
        <f aca="false">Tail_bounds!W108</f>
        <v>960.006311940029</v>
      </c>
      <c r="I58" s="1" t="str">
        <f aca="false">IF(Tail_bounds!AC108=TRUE(),"PROMOTE","de minimis")</f>
        <v>de minimis</v>
      </c>
    </row>
    <row r="59" customFormat="false" ht="15" hidden="false" customHeight="true" outlineLevel="0" collapsed="false">
      <c r="A59" s="1" t="n">
        <f aca="false">Tail_bounds!A109</f>
        <v>105</v>
      </c>
      <c r="B59" s="1" t="str">
        <f aca="false">Tail_bounds!B109</f>
        <v>Carcinoma in Situ – Uterus</v>
      </c>
      <c r="C59" s="1" t="s">
        <v>1236</v>
      </c>
      <c r="D59" s="1" t="n">
        <f aca="false">Tail_bounds!S109</f>
        <v>1280.00841592004</v>
      </c>
      <c r="E59" s="1" t="n">
        <f aca="false">Tail_bounds!T109</f>
        <v>960.006311940029</v>
      </c>
      <c r="F59" s="1" t="n">
        <f aca="false">Tail_bounds!U109</f>
        <v>0</v>
      </c>
      <c r="G59" s="1" t="n">
        <f aca="false">Tail_bounds!V109</f>
        <v>960.006311940029</v>
      </c>
      <c r="H59" s="1" t="n">
        <f aca="false">Tail_bounds!W109</f>
        <v>960.006311940029</v>
      </c>
      <c r="I59" s="1" t="str">
        <f aca="false">IF(Tail_bounds!AC109=TRUE(),"PROMOTE","de minimis")</f>
        <v>de minimis</v>
      </c>
    </row>
    <row r="60" customFormat="false" ht="15" hidden="false" customHeight="true" outlineLevel="0" collapsed="false">
      <c r="A60" s="1" t="n">
        <f aca="false">Tail_bounds!A110</f>
        <v>106</v>
      </c>
      <c r="B60" s="1" t="str">
        <f aca="false">Tail_bounds!B110</f>
        <v>Carcinoma in Situ – Vagina</v>
      </c>
      <c r="C60" s="1" t="s">
        <v>1236</v>
      </c>
      <c r="D60" s="1" t="n">
        <f aca="false">Tail_bounds!S110</f>
        <v>1280.00841592004</v>
      </c>
      <c r="E60" s="1" t="n">
        <f aca="false">Tail_bounds!T110</f>
        <v>960.006311940029</v>
      </c>
      <c r="F60" s="1" t="n">
        <f aca="false">Tail_bounds!U110</f>
        <v>960.006311940029</v>
      </c>
      <c r="G60" s="1" t="n">
        <f aca="false">Tail_bounds!V110</f>
        <v>960.006311940029</v>
      </c>
      <c r="H60" s="1" t="n">
        <f aca="false">Tail_bounds!W110</f>
        <v>960.006311940029</v>
      </c>
      <c r="I60" s="1" t="str">
        <f aca="false">IF(Tail_bounds!AC110=TRUE(),"PROMOTE","de minimis")</f>
        <v>de minimis</v>
      </c>
    </row>
    <row r="61" customFormat="false" ht="15" hidden="false" customHeight="true" outlineLevel="0" collapsed="false">
      <c r="A61" s="1" t="n">
        <f aca="false">Tail_bounds!A111</f>
        <v>107</v>
      </c>
      <c r="B61" s="1" t="str">
        <f aca="false">Tail_bounds!B111</f>
        <v>Carcinoma in Situ – Vulva</v>
      </c>
      <c r="C61" s="1" t="s">
        <v>1236</v>
      </c>
      <c r="D61" s="1" t="n">
        <f aca="false">Tail_bounds!S111</f>
        <v>1280.00841592004</v>
      </c>
      <c r="E61" s="1" t="n">
        <f aca="false">Tail_bounds!T111</f>
        <v>960.006311940029</v>
      </c>
      <c r="F61" s="1" t="n">
        <f aca="false">Tail_bounds!U111</f>
        <v>960.006311940029</v>
      </c>
      <c r="G61" s="1" t="n">
        <f aca="false">Tail_bounds!V111</f>
        <v>960.006311940029</v>
      </c>
      <c r="H61" s="1" t="n">
        <f aca="false">Tail_bounds!W111</f>
        <v>960.006311940029</v>
      </c>
      <c r="I61" s="1" t="str">
        <f aca="false">IF(Tail_bounds!AC111=TRUE(),"PROMOTE","de minimis")</f>
        <v>de minimis</v>
      </c>
    </row>
    <row r="62" customFormat="false" ht="15" hidden="false" customHeight="true" outlineLevel="0" collapsed="false">
      <c r="A62" s="1" t="n">
        <f aca="false">Tail_bounds!A127</f>
        <v>124</v>
      </c>
      <c r="B62" s="1" t="str">
        <f aca="false">Tail_bounds!B127</f>
        <v>Cystic Fibrosis</v>
      </c>
      <c r="C62" s="1" t="s">
        <v>1236</v>
      </c>
      <c r="D62" s="1" t="n">
        <f aca="false">Tail_bounds!S127</f>
        <v>0</v>
      </c>
      <c r="E62" s="1" t="n">
        <f aca="false">Tail_bounds!T127</f>
        <v>0</v>
      </c>
      <c r="F62" s="1" t="n">
        <f aca="false">Tail_bounds!U127</f>
        <v>0</v>
      </c>
      <c r="G62" s="1" t="n">
        <f aca="false">Tail_bounds!V127</f>
        <v>0</v>
      </c>
      <c r="H62" s="1" t="n">
        <f aca="false">Tail_bounds!W127</f>
        <v>0</v>
      </c>
      <c r="I62" s="1" t="str">
        <f aca="false">IF(Tail_bounds!AC127=TRUE(),"PROMOTE","de minimis")</f>
        <v>de minimis</v>
      </c>
    </row>
    <row r="63" customFormat="false" ht="15" hidden="false" customHeight="true" outlineLevel="0" collapsed="false">
      <c r="A63" s="1" t="n">
        <f aca="false">Tail_bounds!A128</f>
        <v>125</v>
      </c>
      <c r="B63" s="1" t="str">
        <f aca="false">Tail_bounds!B128</f>
        <v>Single Lobectomy – for Disease or Trauma (Partial)</v>
      </c>
      <c r="C63" s="1" t="s">
        <v>1236</v>
      </c>
      <c r="D63" s="1" t="n">
        <f aca="false">Tail_bounds!S128</f>
        <v>4073.53554924802</v>
      </c>
      <c r="E63" s="1" t="n">
        <f aca="false">Tail_bounds!T128</f>
        <v>3055.15166193602</v>
      </c>
      <c r="F63" s="1" t="n">
        <f aca="false">Tail_bounds!U128</f>
        <v>3055.15166193602</v>
      </c>
      <c r="G63" s="1" t="n">
        <f aca="false">Tail_bounds!V128</f>
        <v>3055.15166193602</v>
      </c>
      <c r="H63" s="1" t="n">
        <f aca="false">Tail_bounds!W128</f>
        <v>3055.15166193602</v>
      </c>
      <c r="I63" s="1" t="str">
        <f aca="false">IF(Tail_bounds!AC128=TRUE(),"PROMOTE","de minimis")</f>
        <v>de minimis</v>
      </c>
    </row>
    <row r="64" customFormat="false" ht="15" hidden="false" customHeight="true" outlineLevel="0" collapsed="false">
      <c r="A64" s="1" t="n">
        <f aca="false">Tail_bounds!A133</f>
        <v>130</v>
      </c>
      <c r="B64" s="1" t="str">
        <f aca="false">Tail_bounds!B133</f>
        <v>Surgical Removal of One Eye</v>
      </c>
      <c r="C64" s="1" t="s">
        <v>1236</v>
      </c>
      <c r="D64" s="1" t="n">
        <f aca="false">Tail_bounds!S133</f>
        <v>6140.94733624315</v>
      </c>
      <c r="E64" s="1" t="n">
        <f aca="false">Tail_bounds!T133</f>
        <v>4605.71050218236</v>
      </c>
      <c r="F64" s="1" t="n">
        <f aca="false">Tail_bounds!U133</f>
        <v>4605.71050218236</v>
      </c>
      <c r="G64" s="1" t="n">
        <f aca="false">Tail_bounds!V133</f>
        <v>4605.71050218236</v>
      </c>
      <c r="H64" s="1" t="n">
        <f aca="false">Tail_bounds!W133</f>
        <v>4605.71050218236</v>
      </c>
      <c r="I64" s="1" t="str">
        <f aca="false">IF(Tail_bounds!AC133=TRUE(),"PROMOTE","de minimis")</f>
        <v>de minimis</v>
      </c>
    </row>
    <row r="65" customFormat="false" ht="15" hidden="false" customHeight="true" outlineLevel="0" collapsed="false">
      <c r="A65" s="1" t="n">
        <f aca="false">Tail_bounds!A138</f>
        <v>135</v>
      </c>
      <c r="B65" s="1" t="str">
        <f aca="false">Tail_bounds!B138</f>
        <v>Cystectomy – Complete Removal of the Urinary Bladder</v>
      </c>
      <c r="C65" s="1" t="s">
        <v>1236</v>
      </c>
      <c r="D65" s="1" t="n">
        <f aca="false">Tail_bounds!S138</f>
        <v>24402.1132490001</v>
      </c>
      <c r="E65" s="1" t="n">
        <f aca="false">Tail_bounds!T138</f>
        <v>18301.5849367501</v>
      </c>
      <c r="F65" s="1" t="n">
        <f aca="false">Tail_bounds!U138</f>
        <v>18301.5849367501</v>
      </c>
      <c r="G65" s="1" t="n">
        <f aca="false">Tail_bounds!V138</f>
        <v>18301.5849367501</v>
      </c>
      <c r="H65" s="1" t="n">
        <f aca="false">Tail_bounds!W138</f>
        <v>18301.5849367501</v>
      </c>
      <c r="I65" s="1" t="str">
        <f aca="false">IF(Tail_bounds!AC138=TRUE(),"PROMOTE","de minimis")</f>
        <v>de minimis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1237</v>
      </c>
    </row>
    <row r="2" customFormat="false" ht="15" hidden="false" customHeight="true" outlineLevel="0" collapsed="false">
      <c r="A2" s="1" t="s">
        <v>1238</v>
      </c>
    </row>
    <row r="4" customFormat="false" ht="15" hidden="false" customHeight="true" outlineLevel="0" collapsed="false">
      <c r="A4" s="1" t="s">
        <v>1239</v>
      </c>
      <c r="B4" s="1" t="s">
        <v>1240</v>
      </c>
      <c r="C4" s="1" t="s">
        <v>264</v>
      </c>
      <c r="D4" s="1" t="s">
        <v>265</v>
      </c>
      <c r="E4" s="1" t="s">
        <v>266</v>
      </c>
      <c r="F4" s="1" t="s">
        <v>267</v>
      </c>
      <c r="G4" s="1" t="s">
        <v>268</v>
      </c>
    </row>
    <row r="5" customFormat="false" ht="15" hidden="false" customHeight="true" outlineLevel="0" collapsed="false">
      <c r="A5" s="1" t="s">
        <v>1241</v>
      </c>
      <c r="B5" s="1" t="s">
        <v>1242</v>
      </c>
      <c r="C5" s="1" t="n">
        <v>16051.4351446291</v>
      </c>
      <c r="D5" s="1" t="n">
        <v>10955.9708156271</v>
      </c>
      <c r="E5" s="1" t="n">
        <v>6047.20282987368</v>
      </c>
      <c r="F5" s="1" t="n">
        <v>14219.7617631399</v>
      </c>
      <c r="G5" s="1" t="n">
        <v>15079.1202870229</v>
      </c>
    </row>
    <row r="6" customFormat="false" ht="15" hidden="false" customHeight="true" outlineLevel="0" collapsed="false">
      <c r="A6" s="1" t="s">
        <v>1243</v>
      </c>
      <c r="B6" s="1" t="s">
        <v>1244</v>
      </c>
      <c r="C6" s="1" t="n">
        <v>20796.5504888918</v>
      </c>
      <c r="D6" s="1" t="n">
        <v>20782.6425556677</v>
      </c>
      <c r="E6" s="1" t="n">
        <v>20782.6425556677</v>
      </c>
      <c r="F6" s="1" t="n">
        <v>20782.6425556677</v>
      </c>
      <c r="G6" s="1" t="n">
        <v>20740.9187559955</v>
      </c>
    </row>
    <row r="7" customFormat="false" ht="15" hidden="false" customHeight="true" outlineLevel="0" collapsed="false">
      <c r="A7" s="1" t="s">
        <v>1243</v>
      </c>
      <c r="B7" s="1" t="s">
        <v>1245</v>
      </c>
      <c r="C7" s="1" t="n">
        <v>4159.31009777835</v>
      </c>
      <c r="D7" s="1" t="n">
        <v>4156.52851113354</v>
      </c>
      <c r="E7" s="1" t="n">
        <v>4156.52851113354</v>
      </c>
      <c r="F7" s="1" t="n">
        <v>4156.52851113354</v>
      </c>
      <c r="G7" s="1" t="n">
        <v>4148.1837511991</v>
      </c>
    </row>
    <row r="8" customFormat="false" ht="15" hidden="false" customHeight="true" outlineLevel="0" collapsed="false">
      <c r="A8" s="1" t="s">
        <v>1065</v>
      </c>
      <c r="B8" s="1" t="s">
        <v>1242</v>
      </c>
      <c r="C8" s="1" t="n">
        <v>0.849430065786207</v>
      </c>
      <c r="D8" s="1" t="n">
        <v>0.592377271141922</v>
      </c>
      <c r="E8" s="1" t="n">
        <v>0.334980687927349</v>
      </c>
      <c r="F8" s="1" t="n">
        <v>0.811585012083057</v>
      </c>
      <c r="G8" s="1" t="n">
        <v>0.775781946494312</v>
      </c>
    </row>
    <row r="9" customFormat="false" ht="15" hidden="false" customHeight="true" outlineLevel="0" collapsed="false">
      <c r="A9" s="1" t="s">
        <v>1246</v>
      </c>
      <c r="B9" s="1" t="s">
        <v>1244</v>
      </c>
      <c r="C9" s="1" t="n">
        <v>1.09963861607818</v>
      </c>
      <c r="D9" s="1" t="n">
        <v>1.12437344564427</v>
      </c>
      <c r="E9" s="1" t="n">
        <v>1.15302236760084</v>
      </c>
      <c r="F9" s="1" t="n">
        <v>1.18525131074106</v>
      </c>
      <c r="G9" s="1" t="n">
        <v>1.06738260983172</v>
      </c>
    </row>
    <row r="10" customFormat="false" ht="15" hidden="false" customHeight="true" outlineLevel="0" collapsed="false">
      <c r="A10" s="1" t="s">
        <v>1246</v>
      </c>
      <c r="B10" s="1" t="s">
        <v>1245</v>
      </c>
      <c r="C10" s="1" t="n">
        <v>0.219927723215636</v>
      </c>
      <c r="D10" s="1" t="n">
        <v>0.224874689128854</v>
      </c>
      <c r="E10" s="1" t="n">
        <v>0.230604473520168</v>
      </c>
      <c r="F10" s="1" t="n">
        <v>0.237050262148213</v>
      </c>
      <c r="G10" s="1" t="n">
        <v>0.213476521966343</v>
      </c>
    </row>
    <row r="11" customFormat="false" ht="15" hidden="false" customHeight="true" outlineLevel="0" collapsed="false">
      <c r="B11" s="1" t="s">
        <v>1247</v>
      </c>
      <c r="C11" s="1" t="str">
        <f aca="false">IF(SUMPRODUCT(--(ABS(C5:G5-Bridge_05!C6:G6)&gt;0.01))+SUMPRODUCT(--(ABS(C8:G8-Bridge_05!C5:G5)&gt;0.000001))=0,"OK","CHECK")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1248</v>
      </c>
    </row>
    <row r="2" customFormat="false" ht="15" hidden="false" customHeight="true" outlineLevel="0" collapsed="false">
      <c r="A2" s="1" t="s">
        <v>1249</v>
      </c>
    </row>
    <row r="5" customFormat="false" ht="15" hidden="false" customHeight="true" outlineLevel="0" collapsed="false">
      <c r="A5" s="1" t="s">
        <v>264</v>
      </c>
      <c r="B5" s="1" t="s">
        <v>1250</v>
      </c>
      <c r="C5" s="1" t="s">
        <v>1251</v>
      </c>
      <c r="D5" s="1" t="s">
        <v>1252</v>
      </c>
      <c r="E5" s="1" t="s">
        <v>1253</v>
      </c>
    </row>
    <row r="6" customFormat="false" ht="15" hidden="false" customHeight="true" outlineLevel="0" collapsed="false">
      <c r="B6" s="1" t="s">
        <v>686</v>
      </c>
      <c r="C6" s="1" t="n">
        <f aca="false">Marginal_06!D5</f>
        <v>13949.3845749098</v>
      </c>
      <c r="D6" s="98" t="n">
        <f aca="false">Wording_Scores!C104</f>
        <v>1</v>
      </c>
      <c r="E6" s="1" t="n">
        <f aca="false">IF(D6=0,0,C6/D6)</f>
        <v>13949.3845749098</v>
      </c>
    </row>
    <row r="7" customFormat="false" ht="15" hidden="false" customHeight="true" outlineLevel="0" collapsed="false">
      <c r="B7" s="1" t="s">
        <v>688</v>
      </c>
      <c r="C7" s="1" t="n">
        <f aca="false">Marginal_06!D6</f>
        <v>55.6317328962796</v>
      </c>
      <c r="D7" s="98" t="n">
        <f aca="false">Wording_Scores!C107</f>
        <v>1</v>
      </c>
      <c r="E7" s="1" t="n">
        <f aca="false">IF(D7=0,0,C7/D7)</f>
        <v>55.6317328962796</v>
      </c>
    </row>
    <row r="8" customFormat="false" ht="15" hidden="false" customHeight="true" outlineLevel="0" collapsed="false">
      <c r="B8" s="1" t="s">
        <v>690</v>
      </c>
      <c r="C8" s="1" t="n">
        <f aca="false">Marginal_06!D7</f>
        <v>752.23947461992</v>
      </c>
      <c r="D8" s="98" t="n">
        <f aca="false">Wording_Scores!C37</f>
        <v>0.2</v>
      </c>
      <c r="E8" s="1" t="n">
        <f aca="false">IF(D8=0,0,C8/D8)</f>
        <v>3761.1973730996</v>
      </c>
    </row>
    <row r="9" customFormat="false" ht="15" hidden="false" customHeight="true" outlineLevel="0" collapsed="false">
      <c r="B9" s="1" t="s">
        <v>692</v>
      </c>
      <c r="C9" s="1" t="n">
        <f aca="false">Marginal_06!D8</f>
        <v>1050.57010315339</v>
      </c>
      <c r="D9" s="98" t="n">
        <f aca="false">Wording_Scores!C51</f>
        <v>0.4</v>
      </c>
      <c r="E9" s="1" t="n">
        <f aca="false">IF(D9=0,0,C9/D9)</f>
        <v>2626.42525788347</v>
      </c>
    </row>
    <row r="10" customFormat="false" ht="15" hidden="false" customHeight="true" outlineLevel="0" collapsed="false">
      <c r="B10" s="1" t="s">
        <v>550</v>
      </c>
      <c r="C10" s="1" t="n">
        <f aca="false">Marginal_06!D9</f>
        <v>79.5199810323836</v>
      </c>
      <c r="D10" s="98" t="n">
        <f aca="false">Wording_Scores!C86</f>
        <v>0.4</v>
      </c>
      <c r="E10" s="1" t="n">
        <f aca="false">IF(D10=0,0,C10/D10)</f>
        <v>198.799952580959</v>
      </c>
    </row>
    <row r="11" customFormat="false" ht="15" hidden="false" customHeight="true" outlineLevel="0" collapsed="false">
      <c r="B11" s="1" t="s">
        <v>695</v>
      </c>
      <c r="C11" s="1" t="n">
        <f aca="false">Marginal_06!D10</f>
        <v>164.089278017302</v>
      </c>
      <c r="D11" s="98" t="n">
        <f aca="false">Wording_Scores!C137</f>
        <v>0.8</v>
      </c>
      <c r="E11" s="1" t="n">
        <f aca="false">IF(D11=0,0,C11/D11)</f>
        <v>205.111597521628</v>
      </c>
    </row>
    <row r="12" customFormat="false" ht="15" hidden="false" customHeight="true" outlineLevel="0" collapsed="false">
      <c r="B12" s="1" t="s">
        <v>1254</v>
      </c>
      <c r="C12" s="1" t="n">
        <f aca="false">SUM(C6:C11)</f>
        <v>16051.4351446291</v>
      </c>
      <c r="D12" s="1" t="n">
        <f aca="false">LARGE(C6:C11,1)/C12</f>
        <v>0.869042826963505</v>
      </c>
      <c r="E12" s="1" t="n">
        <f aca="false">(LARGE(C6:C11,1)+LARGE(C6:C11,2))/C12</f>
        <v>0.934493055786497</v>
      </c>
      <c r="F12" s="1" t="n">
        <f aca="false">(LARGE(C6:C11,1)+LARGE(C6:C11,2)+LARGE(C6:C11,3))/C12</f>
        <v>0.981357368406644</v>
      </c>
    </row>
    <row r="13" customFormat="false" ht="15" hidden="false" customHeight="true" outlineLevel="0" collapsed="false">
      <c r="B13" s="1" t="s">
        <v>1255</v>
      </c>
      <c r="C13" s="1" t="n">
        <f aca="false">IF(D12&gt;=0.9,1,IF(E12&gt;=0.9,2,IF(F12&gt;=0.9,3,IF((LARGE(C6:C11,1)+LARGE(C6:C11,2)+LARGE(C6:C11,3)+LARGE(C6:C11,4))/C12&gt;=0.9,4,IF((C12-SMALL(C6:C11,1))/C12&gt;=0.9,5,6)))))</f>
        <v>2</v>
      </c>
    </row>
    <row r="14" customFormat="false" ht="15" hidden="false" customHeight="true" outlineLevel="0" collapsed="false">
      <c r="B14" s="1" t="s">
        <v>1256</v>
      </c>
      <c r="C14" s="1" t="n">
        <f aca="false">0.2*LARGE(E6:E11,1)/(0.2*LARGE(E6:E11,1)+(SUM(E6:E11)-LARGE(E6:E11,1)))</f>
        <v>0.289495124645193</v>
      </c>
      <c r="D14" s="1" t="n">
        <f aca="false">0.2*(LARGE(E6:E11,1)+LARGE(E6:E11,2)+LARGE(E6:E11,3))/(0.2*(LARGE(E6:E11,1)+LARGE(E6:E11,2)+LARGE(E6:E11,3))+(SUM(E6:E11)-LARGE(E6:E11,1)-LARGE(E6:E11,2)-LARGE(E6:E11,3)))</f>
        <v>0.898487100903941</v>
      </c>
      <c r="E14" s="1" t="n">
        <f aca="false">0.1*(LARGE(E6:E11,1)+LARGE(E6:E11,2)+LARGE(E6:E11,3))/(0.1*(LARGE(E6:E11,1)+LARGE(E6:E11,2)+LARGE(E6:E11,3))+(SUM(E6:E11)-LARGE(E6:E11,1)-LARGE(E6:E11,2)-LARGE(E6:E11,3)))</f>
        <v>0.815684593109414</v>
      </c>
      <c r="F14" s="1" t="n">
        <f aca="false">0.05*(LARGE(E6:E11,1)+LARGE(E6:E11,2)+LARGE(E6:E11,3))/(0.05*(LARGE(E6:E11,1)+LARGE(E6:E11,2)+LARGE(E6:E11,3))+(SUM(E6:E11)-LARGE(E6:E11,1)-LARGE(E6:E11,2)-LARGE(E6:E11,3)))</f>
        <v>0.688739324308032</v>
      </c>
      <c r="G14" s="1" t="s">
        <v>1257</v>
      </c>
    </row>
    <row r="16" customFormat="false" ht="15" hidden="false" customHeight="true" outlineLevel="0" collapsed="false">
      <c r="A16" s="1" t="s">
        <v>265</v>
      </c>
      <c r="B16" s="1" t="s">
        <v>1250</v>
      </c>
      <c r="C16" s="1" t="s">
        <v>1251</v>
      </c>
      <c r="D16" s="1" t="s">
        <v>1252</v>
      </c>
      <c r="E16" s="1" t="s">
        <v>1253</v>
      </c>
    </row>
    <row r="17" customFormat="false" ht="15" hidden="false" customHeight="true" outlineLevel="0" collapsed="false">
      <c r="B17" s="1" t="s">
        <v>686</v>
      </c>
      <c r="C17" s="1" t="n">
        <f aca="false">Marginal_06!E5</f>
        <v>5579.75382996394</v>
      </c>
      <c r="D17" s="98" t="n">
        <f aca="false">Wording_Scores!D104</f>
        <v>0.4</v>
      </c>
      <c r="E17" s="1" t="n">
        <f aca="false">IF(D17=0,0,C17/D17)</f>
        <v>13949.3845749098</v>
      </c>
    </row>
    <row r="18" customFormat="false" ht="15" hidden="false" customHeight="true" outlineLevel="0" collapsed="false">
      <c r="B18" s="1" t="s">
        <v>688</v>
      </c>
      <c r="C18" s="1" t="n">
        <f aca="false">Marginal_06!E6</f>
        <v>25.0342798033258</v>
      </c>
      <c r="D18" s="98" t="n">
        <f aca="false">Wording_Scores!D107</f>
        <v>0.6</v>
      </c>
      <c r="E18" s="1" t="n">
        <f aca="false">IF(D18=0,0,C18/D18)</f>
        <v>41.7237996722097</v>
      </c>
    </row>
    <row r="19" customFormat="false" ht="15" hidden="false" customHeight="true" outlineLevel="0" collapsed="false">
      <c r="B19" s="1" t="s">
        <v>690</v>
      </c>
      <c r="C19" s="1" t="n">
        <f aca="false">Marginal_06!E7</f>
        <v>3008.95789847968</v>
      </c>
      <c r="D19" s="98" t="n">
        <f aca="false">Wording_Scores!D37</f>
        <v>0.8</v>
      </c>
      <c r="E19" s="1" t="n">
        <f aca="false">IF(D19=0,0,C19/D19)</f>
        <v>3761.1973730996</v>
      </c>
    </row>
    <row r="20" customFormat="false" ht="15" hidden="false" customHeight="true" outlineLevel="0" collapsed="false">
      <c r="B20" s="1" t="s">
        <v>692</v>
      </c>
      <c r="C20" s="1" t="n">
        <f aca="false">Marginal_06!E8</f>
        <v>2101.14020630678</v>
      </c>
      <c r="D20" s="98" t="n">
        <f aca="false">Wording_Scores!D51</f>
        <v>0.8</v>
      </c>
      <c r="E20" s="1" t="n">
        <f aca="false">IF(D20=0,0,C20/D20)</f>
        <v>2626.42525788347</v>
      </c>
    </row>
    <row r="21" customFormat="false" ht="15" hidden="false" customHeight="true" outlineLevel="0" collapsed="false">
      <c r="B21" s="1" t="s">
        <v>550</v>
      </c>
      <c r="C21" s="1" t="n">
        <f aca="false">Marginal_06!E9</f>
        <v>159.039962064767</v>
      </c>
      <c r="D21" s="98" t="n">
        <f aca="false">Wording_Scores!D86</f>
        <v>0.8</v>
      </c>
      <c r="E21" s="1" t="n">
        <f aca="false">IF(D21=0,0,C21/D21)</f>
        <v>198.799952580959</v>
      </c>
    </row>
    <row r="22" customFormat="false" ht="15" hidden="false" customHeight="true" outlineLevel="0" collapsed="false">
      <c r="B22" s="1" t="s">
        <v>695</v>
      </c>
      <c r="C22" s="1" t="n">
        <f aca="false">Marginal_06!E10</f>
        <v>82.0446390086512</v>
      </c>
      <c r="D22" s="98" t="n">
        <f aca="false">Wording_Scores!D137</f>
        <v>0.4</v>
      </c>
      <c r="E22" s="1" t="n">
        <f aca="false">IF(D22=0,0,C22/D22)</f>
        <v>205.111597521628</v>
      </c>
    </row>
    <row r="23" customFormat="false" ht="15" hidden="false" customHeight="true" outlineLevel="0" collapsed="false">
      <c r="B23" s="1" t="s">
        <v>1254</v>
      </c>
      <c r="C23" s="1" t="n">
        <f aca="false">SUM(C17:C22)</f>
        <v>10955.9708156271</v>
      </c>
      <c r="D23" s="1" t="n">
        <f aca="false">LARGE(C17:C22,1)/C23</f>
        <v>0.509288854804652</v>
      </c>
      <c r="E23" s="1" t="n">
        <f aca="false">(LARGE(C17:C22,1)+LARGE(C17:C22,2))/C23</f>
        <v>0.783929774273681</v>
      </c>
      <c r="F23" s="1" t="n">
        <f aca="false">(LARGE(C17:C22,1)+LARGE(C17:C22,2)+LARGE(C17:C22,3))/C23</f>
        <v>0.975710150624246</v>
      </c>
    </row>
    <row r="24" customFormat="false" ht="15" hidden="false" customHeight="true" outlineLevel="0" collapsed="false">
      <c r="B24" s="1" t="s">
        <v>1255</v>
      </c>
      <c r="C24" s="1" t="n">
        <f aca="false">IF(D23&gt;=0.9,1,IF(E23&gt;=0.9,2,IF(F23&gt;=0.9,3,IF((LARGE(C17:C22,1)+LARGE(C17:C22,2)+LARGE(C17:C22,3)+LARGE(C17:C22,4))/C23&gt;=0.9,4,IF((C23-SMALL(C17:C22,1))/C23&gt;=0.9,5,6)))))</f>
        <v>3</v>
      </c>
    </row>
    <row r="25" customFormat="false" ht="15" hidden="false" customHeight="true" outlineLevel="0" collapsed="false">
      <c r="B25" s="1" t="s">
        <v>1256</v>
      </c>
      <c r="C25" s="1" t="n">
        <f aca="false">0.2*LARGE(E17:E22,1)/(0.2*LARGE(E17:E22,1)+(SUM(E17:E22)-LARGE(E17:E22,1)))</f>
        <v>0.289913520407684</v>
      </c>
      <c r="D25" s="1" t="n">
        <f aca="false">0.2*(LARGE(E17:E22,1)+LARGE(E17:E22,2)+LARGE(E17:E22,3))/(0.2*(LARGE(E17:E22,1)+LARGE(E17:E22,2)+LARGE(E17:E22,3))+(SUM(E17:E22)-LARGE(E17:E22,1)-LARGE(E17:E22,2)-LARGE(E17:E22,3)))</f>
        <v>0.901255990053506</v>
      </c>
      <c r="E25" s="1" t="n">
        <f aca="false">0.1*(LARGE(E17:E22,1)+LARGE(E17:E22,2)+LARGE(E17:E22,3))/(0.1*(LARGE(E17:E22,1)+LARGE(E17:E22,2)+LARGE(E17:E22,3))+(SUM(E17:E22)-LARGE(E17:E22,1)-LARGE(E17:E22,2)-LARGE(E17:E22,3)))</f>
        <v>0.820260207923586</v>
      </c>
      <c r="F25" s="1" t="n">
        <f aca="false">0.05*(LARGE(E17:E22,1)+LARGE(E17:E22,2)+LARGE(E17:E22,3))/(0.05*(LARGE(E17:E22,1)+LARGE(E17:E22,2)+LARGE(E17:E22,3))+(SUM(E17:E22)-LARGE(E17:E22,1)-LARGE(E17:E22,2)-LARGE(E17:E22,3)))</f>
        <v>0.695289091232464</v>
      </c>
      <c r="G25" s="1" t="s">
        <v>1257</v>
      </c>
    </row>
    <row r="27" customFormat="false" ht="15" hidden="false" customHeight="true" outlineLevel="0" collapsed="false">
      <c r="A27" s="1" t="s">
        <v>266</v>
      </c>
      <c r="B27" s="1" t="s">
        <v>1250</v>
      </c>
      <c r="C27" s="1" t="s">
        <v>1251</v>
      </c>
      <c r="D27" s="1" t="s">
        <v>1252</v>
      </c>
      <c r="E27" s="1" t="s">
        <v>1253</v>
      </c>
    </row>
    <row r="28" customFormat="false" ht="15" hidden="false" customHeight="true" outlineLevel="0" collapsed="false">
      <c r="B28" s="1" t="s">
        <v>686</v>
      </c>
      <c r="C28" s="1" t="n">
        <f aca="false">Marginal_06!F5</f>
        <v>2789.87691498197</v>
      </c>
      <c r="D28" s="98" t="n">
        <f aca="false">Wording_Scores!E104</f>
        <v>0.2</v>
      </c>
      <c r="E28" s="1" t="n">
        <f aca="false">IF(D28=0,0,C28/D28)</f>
        <v>13949.3845749098</v>
      </c>
    </row>
    <row r="29" customFormat="false" ht="15" hidden="false" customHeight="true" outlineLevel="0" collapsed="false">
      <c r="B29" s="1" t="s">
        <v>688</v>
      </c>
      <c r="C29" s="1" t="n">
        <f aca="false">Marginal_06!F6</f>
        <v>16.6895198688839</v>
      </c>
      <c r="D29" s="98" t="n">
        <f aca="false">Wording_Scores!E107</f>
        <v>0.4</v>
      </c>
      <c r="E29" s="1" t="n">
        <f aca="false">IF(D29=0,0,C29/D29)</f>
        <v>41.7237996722097</v>
      </c>
    </row>
    <row r="30" customFormat="false" ht="15" hidden="false" customHeight="true" outlineLevel="0" collapsed="false">
      <c r="B30" s="1" t="s">
        <v>690</v>
      </c>
      <c r="C30" s="1" t="n">
        <f aca="false">Marginal_06!F7</f>
        <v>1504.47894923984</v>
      </c>
      <c r="D30" s="98" t="n">
        <f aca="false">Wording_Scores!E37</f>
        <v>0.4</v>
      </c>
      <c r="E30" s="1" t="n">
        <f aca="false">IF(D30=0,0,C30/D30)</f>
        <v>3761.1973730996</v>
      </c>
    </row>
    <row r="31" customFormat="false" ht="15" hidden="false" customHeight="true" outlineLevel="0" collapsed="false">
      <c r="B31" s="1" t="s">
        <v>692</v>
      </c>
      <c r="C31" s="1" t="n">
        <f aca="false">Marginal_06!F8</f>
        <v>1575.85515473008</v>
      </c>
      <c r="D31" s="98" t="n">
        <f aca="false">Wording_Scores!E51</f>
        <v>0.6</v>
      </c>
      <c r="E31" s="1" t="n">
        <f aca="false">IF(D31=0,0,C31/D31)</f>
        <v>2626.42525788347</v>
      </c>
    </row>
    <row r="32" customFormat="false" ht="15" hidden="false" customHeight="true" outlineLevel="0" collapsed="false">
      <c r="B32" s="1" t="s">
        <v>550</v>
      </c>
      <c r="C32" s="1" t="n">
        <f aca="false">Marginal_06!F9</f>
        <v>119.279971548575</v>
      </c>
      <c r="D32" s="98" t="n">
        <f aca="false">Wording_Scores!E86</f>
        <v>0.6</v>
      </c>
      <c r="E32" s="1" t="n">
        <f aca="false">IF(D32=0,0,C32/D32)</f>
        <v>198.799952580959</v>
      </c>
    </row>
    <row r="33" customFormat="false" ht="15" hidden="false" customHeight="true" outlineLevel="0" collapsed="false">
      <c r="B33" s="1" t="s">
        <v>695</v>
      </c>
      <c r="C33" s="1" t="n">
        <f aca="false">Marginal_06!F10</f>
        <v>41.0223195043256</v>
      </c>
      <c r="D33" s="98" t="n">
        <f aca="false">Wording_Scores!E137</f>
        <v>0.2</v>
      </c>
      <c r="E33" s="1" t="n">
        <f aca="false">IF(D33=0,0,C33/D33)</f>
        <v>205.111597521628</v>
      </c>
    </row>
    <row r="34" customFormat="false" ht="15" hidden="false" customHeight="true" outlineLevel="0" collapsed="false">
      <c r="B34" s="1" t="s">
        <v>1254</v>
      </c>
      <c r="C34" s="1" t="n">
        <f aca="false">SUM(C28:C33)</f>
        <v>6047.20282987368</v>
      </c>
      <c r="D34" s="1" t="n">
        <f aca="false">LARGE(C28:C33,1)/C34</f>
        <v>0.461349981713818</v>
      </c>
      <c r="E34" s="1" t="n">
        <f aca="false">(LARGE(C28:C33,1)+LARGE(C28:C33,2))/C34</f>
        <v>0.721942390975374</v>
      </c>
      <c r="F34" s="1" t="n">
        <f aca="false">(LARGE(C28:C33,1)+LARGE(C28:C33,2)+LARGE(C28:C33,3))/C34</f>
        <v>0.970731623214715</v>
      </c>
    </row>
    <row r="35" customFormat="false" ht="15" hidden="false" customHeight="true" outlineLevel="0" collapsed="false">
      <c r="B35" s="1" t="s">
        <v>1255</v>
      </c>
      <c r="C35" s="1" t="n">
        <f aca="false">IF(D34&gt;=0.9,1,IF(E34&gt;=0.9,2,IF(F34&gt;=0.9,3,IF((LARGE(C28:C33,1)+LARGE(C28:C33,2)+LARGE(C28:C33,3)+LARGE(C28:C33,4))/C34&gt;=0.9,4,IF((C34-SMALL(C28:C33,1))/C34&gt;=0.9,5,6)))))</f>
        <v>3</v>
      </c>
    </row>
    <row r="36" customFormat="false" ht="15" hidden="false" customHeight="true" outlineLevel="0" collapsed="false">
      <c r="B36" s="1" t="s">
        <v>1256</v>
      </c>
      <c r="C36" s="1" t="n">
        <f aca="false">0.2*LARGE(E28:E33,1)/(0.2*LARGE(E28:E33,1)+(SUM(E28:E33)-LARGE(E28:E33,1)))</f>
        <v>0.289913520407684</v>
      </c>
      <c r="D36" s="1" t="n">
        <f aca="false">0.2*(LARGE(E28:E33,1)+LARGE(E28:E33,2)+LARGE(E28:E33,3))/(0.2*(LARGE(E28:E33,1)+LARGE(E28:E33,2)+LARGE(E28:E33,3))+(SUM(E28:E33)-LARGE(E28:E33,1)-LARGE(E28:E33,2)-LARGE(E28:E33,3)))</f>
        <v>0.901255990053506</v>
      </c>
      <c r="E36" s="1" t="n">
        <f aca="false">0.1*(LARGE(E28:E33,1)+LARGE(E28:E33,2)+LARGE(E28:E33,3))/(0.1*(LARGE(E28:E33,1)+LARGE(E28:E33,2)+LARGE(E28:E33,3))+(SUM(E28:E33)-LARGE(E28:E33,1)-LARGE(E28:E33,2)-LARGE(E28:E33,3)))</f>
        <v>0.820260207923586</v>
      </c>
      <c r="F36" s="1" t="n">
        <f aca="false">0.05*(LARGE(E28:E33,1)+LARGE(E28:E33,2)+LARGE(E28:E33,3))/(0.05*(LARGE(E28:E33,1)+LARGE(E28:E33,2)+LARGE(E28:E33,3))+(SUM(E28:E33)-LARGE(E28:E33,1)-LARGE(E28:E33,2)-LARGE(E28:E33,3)))</f>
        <v>0.695289091232464</v>
      </c>
      <c r="G36" s="1" t="s">
        <v>1257</v>
      </c>
    </row>
    <row r="38" customFormat="false" ht="15" hidden="false" customHeight="true" outlineLevel="0" collapsed="false">
      <c r="A38" s="1" t="s">
        <v>267</v>
      </c>
      <c r="B38" s="1" t="s">
        <v>1250</v>
      </c>
      <c r="C38" s="1" t="s">
        <v>1251</v>
      </c>
      <c r="D38" s="1" t="s">
        <v>1252</v>
      </c>
      <c r="E38" s="1" t="s">
        <v>1253</v>
      </c>
    </row>
    <row r="39" customFormat="false" ht="15" hidden="false" customHeight="true" outlineLevel="0" collapsed="false">
      <c r="B39" s="1" t="s">
        <v>686</v>
      </c>
      <c r="C39" s="1" t="n">
        <f aca="false">Marginal_06!G5</f>
        <v>11159.5076599279</v>
      </c>
      <c r="D39" s="98" t="n">
        <f aca="false">Wording_Scores!F104</f>
        <v>0.8</v>
      </c>
      <c r="E39" s="1" t="n">
        <f aca="false">IF(D39=0,0,C39/D39)</f>
        <v>13949.3845749098</v>
      </c>
    </row>
    <row r="40" customFormat="false" ht="15" hidden="false" customHeight="true" outlineLevel="0" collapsed="false">
      <c r="B40" s="1" t="s">
        <v>688</v>
      </c>
      <c r="C40" s="1" t="n">
        <f aca="false">Marginal_06!G6</f>
        <v>33.3790397377678</v>
      </c>
      <c r="D40" s="98" t="n">
        <f aca="false">Wording_Scores!F107</f>
        <v>0.8</v>
      </c>
      <c r="E40" s="1" t="n">
        <f aca="false">IF(D40=0,0,C40/D40)</f>
        <v>41.7237996722097</v>
      </c>
    </row>
    <row r="41" customFormat="false" ht="15" hidden="false" customHeight="true" outlineLevel="0" collapsed="false">
      <c r="B41" s="1" t="s">
        <v>690</v>
      </c>
      <c r="C41" s="1" t="n">
        <f aca="false">Marginal_06!G7</f>
        <v>2256.71842385976</v>
      </c>
      <c r="D41" s="98" t="n">
        <f aca="false">Wording_Scores!F37</f>
        <v>0.6</v>
      </c>
      <c r="E41" s="1" t="n">
        <f aca="false">IF(D41=0,0,C41/D41)</f>
        <v>3761.1973730996</v>
      </c>
    </row>
    <row r="42" customFormat="false" ht="15" hidden="false" customHeight="true" outlineLevel="0" collapsed="false">
      <c r="B42" s="1" t="s">
        <v>692</v>
      </c>
      <c r="C42" s="1" t="n">
        <f aca="false">Marginal_06!G8</f>
        <v>525.285051576694</v>
      </c>
      <c r="D42" s="98" t="n">
        <f aca="false">Wording_Scores!F51</f>
        <v>0.2</v>
      </c>
      <c r="E42" s="1" t="n">
        <f aca="false">IF(D42=0,0,C42/D42)</f>
        <v>2626.42525788347</v>
      </c>
    </row>
    <row r="43" customFormat="false" ht="15" hidden="false" customHeight="true" outlineLevel="0" collapsed="false">
      <c r="B43" s="1" t="s">
        <v>550</v>
      </c>
      <c r="C43" s="1" t="n">
        <f aca="false">Marginal_06!G9</f>
        <v>39.7599905161918</v>
      </c>
      <c r="D43" s="98" t="n">
        <f aca="false">Wording_Scores!F86</f>
        <v>0.2</v>
      </c>
      <c r="E43" s="1" t="n">
        <f aca="false">IF(D43=0,0,C43/D43)</f>
        <v>198.799952580959</v>
      </c>
    </row>
    <row r="44" customFormat="false" ht="15" hidden="false" customHeight="true" outlineLevel="0" collapsed="false">
      <c r="B44" s="1" t="s">
        <v>695</v>
      </c>
      <c r="C44" s="1" t="n">
        <f aca="false">Marginal_06!G10</f>
        <v>205.111597521628</v>
      </c>
      <c r="D44" s="98" t="n">
        <f aca="false">Wording_Scores!F137</f>
        <v>1</v>
      </c>
      <c r="E44" s="1" t="n">
        <f aca="false">IF(D44=0,0,C44/D44)</f>
        <v>205.111597521628</v>
      </c>
    </row>
    <row r="45" customFormat="false" ht="15" hidden="false" customHeight="true" outlineLevel="0" collapsed="false">
      <c r="B45" s="1" t="s">
        <v>1254</v>
      </c>
      <c r="C45" s="1" t="n">
        <f aca="false">SUM(C39:C44)</f>
        <v>14219.7617631399</v>
      </c>
      <c r="D45" s="1" t="n">
        <f aca="false">LARGE(C39:C44,1)/C45</f>
        <v>0.784788651583126</v>
      </c>
      <c r="E45" s="1" t="n">
        <f aca="false">(LARGE(C39:C44,1)+LARGE(C39:C44,2))/C45</f>
        <v>0.943491621537909</v>
      </c>
      <c r="F45" s="1" t="n">
        <f aca="false">(LARGE(C39:C44,1)+LARGE(C39:C44,2)+LARGE(C39:C44,3))/C45</f>
        <v>0.980432117470712</v>
      </c>
    </row>
    <row r="46" customFormat="false" ht="15" hidden="false" customHeight="true" outlineLevel="0" collapsed="false">
      <c r="B46" s="1" t="s">
        <v>1255</v>
      </c>
      <c r="C46" s="1" t="n">
        <f aca="false">IF(D45&gt;=0.9,1,IF(E45&gt;=0.9,2,IF(F45&gt;=0.9,3,IF((LARGE(C39:C44,1)+LARGE(C39:C44,2)+LARGE(C39:C44,3)+LARGE(C39:C44,4))/C45&gt;=0.9,4,IF((C45-SMALL(C39:C44,1))/C45&gt;=0.9,5,6)))))</f>
        <v>2</v>
      </c>
    </row>
    <row r="47" customFormat="false" ht="15" hidden="false" customHeight="true" outlineLevel="0" collapsed="false">
      <c r="B47" s="1" t="s">
        <v>1256</v>
      </c>
      <c r="C47" s="1" t="n">
        <f aca="false">0.2*LARGE(E39:E44,1)/(0.2*LARGE(E39:E44,1)+(SUM(E39:E44)-LARGE(E39:E44,1)))</f>
        <v>0.289913520407684</v>
      </c>
      <c r="D47" s="1" t="n">
        <f aca="false">0.2*(LARGE(E39:E44,1)+LARGE(E39:E44,2)+LARGE(E39:E44,3))/(0.2*(LARGE(E39:E44,1)+LARGE(E39:E44,2)+LARGE(E39:E44,3))+(SUM(E39:E44)-LARGE(E39:E44,1)-LARGE(E39:E44,2)-LARGE(E39:E44,3)))</f>
        <v>0.901255990053506</v>
      </c>
      <c r="E47" s="1" t="n">
        <f aca="false">0.1*(LARGE(E39:E44,1)+LARGE(E39:E44,2)+LARGE(E39:E44,3))/(0.1*(LARGE(E39:E44,1)+LARGE(E39:E44,2)+LARGE(E39:E44,3))+(SUM(E39:E44)-LARGE(E39:E44,1)-LARGE(E39:E44,2)-LARGE(E39:E44,3)))</f>
        <v>0.820260207923586</v>
      </c>
      <c r="F47" s="1" t="n">
        <f aca="false">0.05*(LARGE(E39:E44,1)+LARGE(E39:E44,2)+LARGE(E39:E44,3))/(0.05*(LARGE(E39:E44,1)+LARGE(E39:E44,2)+LARGE(E39:E44,3))+(SUM(E39:E44)-LARGE(E39:E44,1)-LARGE(E39:E44,2)-LARGE(E39:E44,3)))</f>
        <v>0.695289091232464</v>
      </c>
      <c r="G47" s="1" t="s">
        <v>1257</v>
      </c>
    </row>
    <row r="49" customFormat="false" ht="15" hidden="false" customHeight="true" outlineLevel="0" collapsed="false">
      <c r="A49" s="1" t="s">
        <v>268</v>
      </c>
      <c r="B49" s="1" t="s">
        <v>1250</v>
      </c>
      <c r="C49" s="1" t="s">
        <v>1251</v>
      </c>
      <c r="D49" s="1" t="s">
        <v>1252</v>
      </c>
      <c r="E49" s="1" t="s">
        <v>1253</v>
      </c>
    </row>
    <row r="50" customFormat="false" ht="15" hidden="false" customHeight="true" outlineLevel="0" collapsed="false">
      <c r="B50" s="1" t="s">
        <v>686</v>
      </c>
      <c r="C50" s="1" t="n">
        <f aca="false">Marginal_06!H5</f>
        <v>8369.6307449459</v>
      </c>
      <c r="D50" s="98" t="n">
        <f aca="false">Wording_Scores!G104</f>
        <v>0.6</v>
      </c>
      <c r="E50" s="1" t="n">
        <f aca="false">IF(D50=0,0,C50/D50)</f>
        <v>13949.3845749098</v>
      </c>
    </row>
    <row r="51" customFormat="false" ht="15" hidden="false" customHeight="true" outlineLevel="0" collapsed="false">
      <c r="B51" s="1" t="s">
        <v>688</v>
      </c>
      <c r="C51" s="1" t="n">
        <f aca="false">Marginal_06!H6</f>
        <v>0</v>
      </c>
      <c r="D51" s="98" t="n">
        <f aca="false">Wording_Scores!G107</f>
        <v>0</v>
      </c>
      <c r="E51" s="1" t="n">
        <f aca="false">IF(D51=0,0,C51/D51)</f>
        <v>0</v>
      </c>
    </row>
    <row r="52" customFormat="false" ht="15" hidden="false" customHeight="true" outlineLevel="0" collapsed="false">
      <c r="B52" s="1" t="s">
        <v>690</v>
      </c>
      <c r="C52" s="1" t="n">
        <f aca="false">Marginal_06!H7</f>
        <v>3761.1973730996</v>
      </c>
      <c r="D52" s="98" t="n">
        <f aca="false">Wording_Scores!G37</f>
        <v>1</v>
      </c>
      <c r="E52" s="1" t="n">
        <f aca="false">IF(D52=0,0,C52/D52)</f>
        <v>3761.1973730996</v>
      </c>
    </row>
    <row r="53" customFormat="false" ht="15" hidden="false" customHeight="true" outlineLevel="0" collapsed="false">
      <c r="B53" s="1" t="s">
        <v>692</v>
      </c>
      <c r="C53" s="1" t="n">
        <f aca="false">Marginal_06!H8</f>
        <v>2626.42525788347</v>
      </c>
      <c r="D53" s="98" t="n">
        <f aca="false">Wording_Scores!G51</f>
        <v>1</v>
      </c>
      <c r="E53" s="1" t="n">
        <f aca="false">IF(D53=0,0,C53/D53)</f>
        <v>2626.42525788347</v>
      </c>
    </row>
    <row r="54" customFormat="false" ht="15" hidden="false" customHeight="true" outlineLevel="0" collapsed="false">
      <c r="B54" s="1" t="s">
        <v>550</v>
      </c>
      <c r="C54" s="1" t="n">
        <f aca="false">Marginal_06!H9</f>
        <v>198.799952580959</v>
      </c>
      <c r="D54" s="98" t="n">
        <f aca="false">Wording_Scores!G86</f>
        <v>1</v>
      </c>
      <c r="E54" s="1" t="n">
        <f aca="false">IF(D54=0,0,C54/D54)</f>
        <v>198.799952580959</v>
      </c>
    </row>
    <row r="55" customFormat="false" ht="15" hidden="false" customHeight="true" outlineLevel="0" collapsed="false">
      <c r="B55" s="1" t="s">
        <v>695</v>
      </c>
      <c r="C55" s="1" t="n">
        <f aca="false">Marginal_06!H10</f>
        <v>123.066958512977</v>
      </c>
      <c r="D55" s="98" t="n">
        <f aca="false">Wording_Scores!G137</f>
        <v>0.6</v>
      </c>
      <c r="E55" s="1" t="n">
        <f aca="false">IF(D55=0,0,C55/D55)</f>
        <v>205.111597521628</v>
      </c>
    </row>
    <row r="56" customFormat="false" ht="15" hidden="false" customHeight="true" outlineLevel="0" collapsed="false">
      <c r="B56" s="1" t="s">
        <v>1254</v>
      </c>
      <c r="C56" s="1" t="n">
        <f aca="false">SUM(C50:C55)</f>
        <v>15079.1202870229</v>
      </c>
      <c r="D56" s="1" t="n">
        <f aca="false">LARGE(C50:C55,1)/C56</f>
        <v>0.555047680874912</v>
      </c>
      <c r="E56" s="1" t="n">
        <f aca="false">(LARGE(C50:C55,1)+LARGE(C50:C55,2))/C56</f>
        <v>0.804478503197915</v>
      </c>
      <c r="F56" s="1" t="n">
        <f aca="false">(LARGE(C50:C55,1)+LARGE(C50:C55,2)+LARGE(C50:C55,3))/C56</f>
        <v>0.978654795175887</v>
      </c>
    </row>
    <row r="57" customFormat="false" ht="15" hidden="false" customHeight="true" outlineLevel="0" collapsed="false">
      <c r="B57" s="1" t="s">
        <v>1255</v>
      </c>
      <c r="C57" s="1" t="n">
        <f aca="false">IF(D56&gt;=0.9,1,IF(E56&gt;=0.9,2,IF(F56&gt;=0.9,3,IF((LARGE(C50:C55,1)+LARGE(C50:C55,2)+LARGE(C50:C55,3)+LARGE(C50:C55,4))/C56&gt;=0.9,4,IF((C56-SMALL(C50:C55,1))/C56&gt;=0.9,5,6)))))</f>
        <v>3</v>
      </c>
    </row>
    <row r="58" customFormat="false" ht="15" hidden="false" customHeight="true" outlineLevel="0" collapsed="false">
      <c r="B58" s="1" t="s">
        <v>1256</v>
      </c>
      <c r="C58" s="1" t="n">
        <f aca="false">0.2*LARGE(E50:E55,1)/(0.2*LARGE(E50:E55,1)+(SUM(E50:E55)-LARGE(E50:E55,1)))</f>
        <v>0.291175995582423</v>
      </c>
      <c r="D58" s="1" t="n">
        <f aca="false">0.2*(LARGE(E50:E55,1)+LARGE(E50:E55,2)+LARGE(E50:E55,3))/(0.2*(LARGE(E50:E55,1)+LARGE(E50:E55,2)+LARGE(E50:E55,3))+(SUM(E50:E55)-LARGE(E50:E55,1)-LARGE(E50:E55,2)-LARGE(E50:E55,3)))</f>
        <v>0.909666008420749</v>
      </c>
      <c r="E58" s="1" t="n">
        <f aca="false">0.1*(LARGE(E50:E55,1)+LARGE(E50:E55,2)+LARGE(E50:E55,3))/(0.1*(LARGE(E50:E55,1)+LARGE(E50:E55,2)+LARGE(E50:E55,3))+(SUM(E50:E55)-LARGE(E50:E55,1)-LARGE(E50:E55,2)-LARGE(E50:E55,3)))</f>
        <v>0.834300329482693</v>
      </c>
      <c r="F58" s="1" t="n">
        <f aca="false">0.05*(LARGE(E50:E55,1)+LARGE(E50:E55,2)+LARGE(E50:E55,3))/(0.05*(LARGE(E50:E55,1)+LARGE(E50:E55,2)+LARGE(E50:E55,3))+(SUM(E50:E55)-LARGE(E50:E55,1)-LARGE(E50:E55,2)-LARGE(E50:E55,3)))</f>
        <v>0.715707785275819</v>
      </c>
      <c r="G58" s="1" t="s">
        <v>1257</v>
      </c>
    </row>
    <row r="62" customFormat="false" ht="15" hidden="false" customHeight="true" outlineLevel="0" collapsed="false">
      <c r="A62" s="1" t="s">
        <v>1258</v>
      </c>
      <c r="C62" s="1" t="s">
        <v>264</v>
      </c>
      <c r="D62" s="1" t="s">
        <v>265</v>
      </c>
      <c r="E62" s="1" t="s">
        <v>266</v>
      </c>
      <c r="F62" s="1" t="s">
        <v>267</v>
      </c>
      <c r="G62" s="1" t="s">
        <v>268</v>
      </c>
    </row>
    <row r="63" customFormat="false" ht="15" hidden="false" customHeight="true" outlineLevel="0" collapsed="false">
      <c r="B63" s="1" t="s">
        <v>1259</v>
      </c>
      <c r="C63" s="1" t="n">
        <f aca="false">D14*Tail_bounds!E7/(Tail_bounds!E7+Tail_bounds!S164)</f>
        <v>0.0469369591919696</v>
      </c>
      <c r="D63" s="1" t="n">
        <f aca="false">D25*Tail_bounds!F7/(Tail_bounds!F7+Tail_bounds!T164)</f>
        <v>0.0345653151527382</v>
      </c>
      <c r="E63" s="1" t="n">
        <f aca="false">D36*Tail_bounds!G7/(Tail_bounds!G7+Tail_bounds!U164)</f>
        <v>0.0193721605034832</v>
      </c>
      <c r="F63" s="1" t="n">
        <f aca="false">D47*Tail_bounds!H7/(Tail_bounds!H7+Tail_bounds!V164)</f>
        <v>0.0432124300745356</v>
      </c>
      <c r="G63" s="1" t="n">
        <f aca="false">D58*Tail_bounds!I7/(Tail_bounds!I7+Tail_bounds!W164)</f>
        <v>0.0469547560261481</v>
      </c>
    </row>
    <row r="70" customFormat="false" ht="15" hidden="false" customHeight="true" outlineLevel="0" collapsed="false">
      <c r="A70" s="1" t="s">
        <v>1260</v>
      </c>
    </row>
    <row r="72" customFormat="false" ht="15" hidden="false" customHeight="true" outlineLevel="0" collapsed="false">
      <c r="A72" s="1" t="s">
        <v>264</v>
      </c>
    </row>
    <row r="73" customFormat="false" ht="15" hidden="false" customHeight="true" outlineLevel="0" collapsed="false">
      <c r="B73" s="1" t="n">
        <f aca="false">(Head_EPV_06!D16+Head_EPV_06!D21)/2</f>
        <v>12703.7954056393</v>
      </c>
      <c r="C73" s="1" t="n">
        <f aca="false">(Head_EPV_06!E16+Head_EPV_06!E21)/2</f>
        <v>13949.3845749098</v>
      </c>
      <c r="D73" s="1" t="n">
        <f aca="false">(Head_EPV_06!F16+Head_EPV_06!F21)/2</f>
        <v>15055.6702207623</v>
      </c>
      <c r="E73" s="1" t="n">
        <f aca="false">(Head_EPV_06!G16+Head_EPV_06!G21)/2</f>
        <v>15732.0580594412</v>
      </c>
      <c r="F73" s="1" t="n">
        <f aca="false">(Head_EPV_06!H16+Head_EPV_06!H21)/2</f>
        <v>15570.5824502141</v>
      </c>
    </row>
    <row r="74" customFormat="false" ht="15" hidden="false" customHeight="true" outlineLevel="0" collapsed="false">
      <c r="B74" s="1" t="n">
        <f aca="false">Head_EPV_06!D22/2</f>
        <v>48.6799520510417</v>
      </c>
      <c r="C74" s="1" t="n">
        <f aca="false">Head_EPV_06!E22/2</f>
        <v>55.6317328962796</v>
      </c>
      <c r="D74" s="1" t="n">
        <f aca="false">Head_EPV_06!F22/2</f>
        <v>61.0469083225985</v>
      </c>
      <c r="E74" s="1" t="n">
        <f aca="false">Head_EPV_06!G22/2</f>
        <v>62.7008249836503</v>
      </c>
      <c r="F74" s="1" t="n">
        <f aca="false">Head_EPV_06!H22/2</f>
        <v>59.1455627294464</v>
      </c>
    </row>
    <row r="75" customFormat="false" ht="15" hidden="false" customHeight="true" outlineLevel="0" collapsed="false">
      <c r="B75" s="1" t="n">
        <f aca="false">(Head_EPV_06!D17+Head_EPV_06!D23)/2</f>
        <v>672.015977708384</v>
      </c>
      <c r="C75" s="1" t="n">
        <f aca="false">(Head_EPV_06!E17+Head_EPV_06!E23)/2</f>
        <v>752.23947461992</v>
      </c>
      <c r="D75" s="1" t="n">
        <f aca="false">(Head_EPV_06!F17+Head_EPV_06!F23)/2</f>
        <v>845.24049473915</v>
      </c>
      <c r="E75" s="1" t="n">
        <f aca="false">(Head_EPV_06!G17+Head_EPV_06!G23)/2</f>
        <v>953.054166246827</v>
      </c>
      <c r="F75" s="1" t="n">
        <f aca="false">(Head_EPV_06!H17+Head_EPV_06!H23)/2</f>
        <v>764.746630564144</v>
      </c>
    </row>
    <row r="76" customFormat="false" ht="15" hidden="false" customHeight="true" outlineLevel="0" collapsed="false">
      <c r="B76" s="1" t="n">
        <f aca="false">(Head_EPV_06!D18+Head_EPV_06!D24)/2</f>
        <v>960.332736915216</v>
      </c>
      <c r="C76" s="1" t="n">
        <f aca="false">(Head_EPV_06!E18+Head_EPV_06!E24)/2</f>
        <v>1050.57010315339</v>
      </c>
      <c r="D76" s="1" t="n">
        <f aca="false">(Head_EPV_06!F18+Head_EPV_06!F24)/2</f>
        <v>1155.17994236642</v>
      </c>
      <c r="E76" s="1" t="n">
        <f aca="false">(Head_EPV_06!G18+Head_EPV_06!G24)/2</f>
        <v>1276.45141688277</v>
      </c>
      <c r="F76" s="1" t="n">
        <f aca="false">(Head_EPV_06!H18+Head_EPV_06!H24)/2</f>
        <v>1024.24600270528</v>
      </c>
    </row>
    <row r="77" customFormat="false" ht="15" hidden="false" customHeight="true" outlineLevel="0" collapsed="false">
      <c r="B77" s="1" t="n">
        <f aca="false">(Head_EPV_06!D19+Head_EPV_06!D25)/2</f>
        <v>87.1747376593696</v>
      </c>
      <c r="C77" s="1" t="n">
        <f aca="false">(Head_EPV_06!E19+Head_EPV_06!E25)/2</f>
        <v>79.5199810323836</v>
      </c>
      <c r="D77" s="1" t="n">
        <f aca="false">(Head_EPV_06!F19+Head_EPV_06!F25)/2</f>
        <v>70.6460201296427</v>
      </c>
      <c r="E77" s="1" t="n">
        <f aca="false">(Head_EPV_06!G19+Head_EPV_06!G25)/2</f>
        <v>60.3586673187433</v>
      </c>
      <c r="F77" s="1" t="n">
        <f aca="false">(Head_EPV_06!H19+Head_EPV_06!H25)/2</f>
        <v>48.4328059118904</v>
      </c>
    </row>
    <row r="78" customFormat="false" ht="15" hidden="false" customHeight="true" outlineLevel="0" collapsed="false">
      <c r="B78" s="1" t="n">
        <f aca="false">(Head_EPV_06!D20+Head_EPV_06!D26)/2</f>
        <v>179.884848791002</v>
      </c>
      <c r="C78" s="1" t="n">
        <f aca="false">(Head_EPV_06!E20+Head_EPV_06!E26)/2</f>
        <v>164.089278017302</v>
      </c>
      <c r="D78" s="1" t="n">
        <f aca="false">(Head_EPV_06!F20+Head_EPV_06!F26)/2</f>
        <v>145.777882330581</v>
      </c>
      <c r="E78" s="1" t="n">
        <f aca="false">(Head_EPV_06!G20+Head_EPV_06!G26)/2</f>
        <v>124.549956046717</v>
      </c>
      <c r="F78" s="1" t="n">
        <f aca="false">(Head_EPV_06!H20+Head_EPV_06!H26)/2</f>
        <v>99.9409714546811</v>
      </c>
    </row>
    <row r="79" customFormat="false" ht="15" hidden="false" customHeight="true" outlineLevel="0" collapsed="false">
      <c r="A79" s="1" t="s">
        <v>1261</v>
      </c>
      <c r="B79" s="1" t="n">
        <f aca="false">(LARGE(B73:B78,1)+LARGE(B73:B78,2)+LARGE(B73:B78,3))/SUM(B73:B78)</f>
        <v>0.978450583839263</v>
      </c>
      <c r="C79" s="1" t="n">
        <f aca="false">(LARGE(C73:C78,1)+LARGE(C73:C78,2)+LARGE(C73:C78,3))/SUM(C73:C78)</f>
        <v>0.981357368406644</v>
      </c>
      <c r="D79" s="1" t="n">
        <f aca="false">(LARGE(D73:D78,1)+LARGE(D73:D78,2)+LARGE(D73:D78,3))/SUM(D73:D78)</f>
        <v>0.983992279296747</v>
      </c>
      <c r="E79" s="1" t="n">
        <f aca="false">(LARGE(E73:E78,1)+LARGE(E73:E78,2)+LARGE(E73:E78,3))/SUM(E73:E78)</f>
        <v>0.9864019388957</v>
      </c>
      <c r="F79" s="1" t="n">
        <f aca="false">(LARGE(F73:F78,1)+LARGE(F73:F78,2)+LARGE(F73:F78,3))/SUM(F73:F78)</f>
        <v>0.988187042484529</v>
      </c>
    </row>
    <row r="81" customFormat="false" ht="15" hidden="false" customHeight="true" outlineLevel="0" collapsed="false">
      <c r="A81" s="1" t="s">
        <v>265</v>
      </c>
    </row>
    <row r="82" customFormat="false" ht="15" hidden="false" customHeight="true" outlineLevel="0" collapsed="false">
      <c r="B82" s="1" t="n">
        <f aca="false">(Head_EPV_06!D27+Head_EPV_06!D32)/2</f>
        <v>5081.51816225573</v>
      </c>
      <c r="C82" s="1" t="n">
        <f aca="false">(Head_EPV_06!E27+Head_EPV_06!E32)/2</f>
        <v>5579.75382996394</v>
      </c>
      <c r="D82" s="1" t="n">
        <f aca="false">(Head_EPV_06!F27+Head_EPV_06!F32)/2</f>
        <v>6022.26808830492</v>
      </c>
      <c r="E82" s="1" t="n">
        <f aca="false">(Head_EPV_06!G27+Head_EPV_06!G32)/2</f>
        <v>6292.82322377647</v>
      </c>
      <c r="F82" s="1" t="n">
        <f aca="false">(Head_EPV_06!H27+Head_EPV_06!H32)/2</f>
        <v>6228.23298008565</v>
      </c>
    </row>
    <row r="83" customFormat="false" ht="15" hidden="false" customHeight="true" outlineLevel="0" collapsed="false">
      <c r="B83" s="1" t="n">
        <f aca="false">Head_EPV_06!D33/2</f>
        <v>21.9059784229688</v>
      </c>
      <c r="C83" s="1" t="n">
        <f aca="false">Head_EPV_06!E33/2</f>
        <v>25.0342798033258</v>
      </c>
      <c r="D83" s="1" t="n">
        <f aca="false">Head_EPV_06!F33/2</f>
        <v>27.4711087451693</v>
      </c>
      <c r="E83" s="1" t="n">
        <f aca="false">Head_EPV_06!G33/2</f>
        <v>28.2153712426426</v>
      </c>
      <c r="F83" s="1" t="n">
        <f aca="false">Head_EPV_06!H33/2</f>
        <v>26.6155032282509</v>
      </c>
    </row>
    <row r="84" customFormat="false" ht="15" hidden="false" customHeight="true" outlineLevel="0" collapsed="false">
      <c r="B84" s="1" t="n">
        <f aca="false">(Head_EPV_06!D28+Head_EPV_06!D34)/2</f>
        <v>2688.06391083353</v>
      </c>
      <c r="C84" s="1" t="n">
        <f aca="false">(Head_EPV_06!E28+Head_EPV_06!E34)/2</f>
        <v>3008.95789847968</v>
      </c>
      <c r="D84" s="1" t="n">
        <f aca="false">(Head_EPV_06!F28+Head_EPV_06!F34)/2</f>
        <v>3380.9619789566</v>
      </c>
      <c r="E84" s="1" t="n">
        <f aca="false">(Head_EPV_06!G28+Head_EPV_06!G34)/2</f>
        <v>3812.21666498731</v>
      </c>
      <c r="F84" s="1" t="n">
        <f aca="false">(Head_EPV_06!H28+Head_EPV_06!H34)/2</f>
        <v>3058.98652225658</v>
      </c>
    </row>
    <row r="85" customFormat="false" ht="15" hidden="false" customHeight="true" outlineLevel="0" collapsed="false">
      <c r="B85" s="1" t="n">
        <f aca="false">(Head_EPV_06!D29+Head_EPV_06!D35)/2</f>
        <v>1920.66547383043</v>
      </c>
      <c r="C85" s="1" t="n">
        <f aca="false">(Head_EPV_06!E29+Head_EPV_06!E35)/2</f>
        <v>2101.14020630678</v>
      </c>
      <c r="D85" s="1" t="n">
        <f aca="false">(Head_EPV_06!F29+Head_EPV_06!F35)/2</f>
        <v>2310.35988473283</v>
      </c>
      <c r="E85" s="1" t="n">
        <f aca="false">(Head_EPV_06!G29+Head_EPV_06!G35)/2</f>
        <v>2552.90283376554</v>
      </c>
      <c r="F85" s="1" t="n">
        <f aca="false">(Head_EPV_06!H29+Head_EPV_06!H35)/2</f>
        <v>2048.49200541056</v>
      </c>
    </row>
    <row r="86" customFormat="false" ht="15" hidden="false" customHeight="true" outlineLevel="0" collapsed="false">
      <c r="B86" s="1" t="n">
        <f aca="false">(Head_EPV_06!D30+Head_EPV_06!D36)/2</f>
        <v>174.349475318739</v>
      </c>
      <c r="C86" s="1" t="n">
        <f aca="false">(Head_EPV_06!E30+Head_EPV_06!E36)/2</f>
        <v>159.039962064767</v>
      </c>
      <c r="D86" s="1" t="n">
        <f aca="false">(Head_EPV_06!F30+Head_EPV_06!F36)/2</f>
        <v>141.292040259285</v>
      </c>
      <c r="E86" s="1" t="n">
        <f aca="false">(Head_EPV_06!G30+Head_EPV_06!G36)/2</f>
        <v>120.717334637487</v>
      </c>
      <c r="F86" s="1" t="n">
        <f aca="false">(Head_EPV_06!H30+Head_EPV_06!H36)/2</f>
        <v>96.8656118237808</v>
      </c>
    </row>
    <row r="87" customFormat="false" ht="15" hidden="false" customHeight="true" outlineLevel="0" collapsed="false">
      <c r="B87" s="1" t="n">
        <f aca="false">(Head_EPV_06!D31+Head_EPV_06!D37)/2</f>
        <v>89.9424243955012</v>
      </c>
      <c r="C87" s="1" t="n">
        <f aca="false">(Head_EPV_06!E31+Head_EPV_06!E37)/2</f>
        <v>82.0446390086512</v>
      </c>
      <c r="D87" s="1" t="n">
        <f aca="false">(Head_EPV_06!F31+Head_EPV_06!F37)/2</f>
        <v>72.8889411652907</v>
      </c>
      <c r="E87" s="1" t="n">
        <f aca="false">(Head_EPV_06!G31+Head_EPV_06!G37)/2</f>
        <v>62.2749780233584</v>
      </c>
      <c r="F87" s="1" t="n">
        <f aca="false">(Head_EPV_06!H31+Head_EPV_06!H37)/2</f>
        <v>49.9704857273406</v>
      </c>
    </row>
    <row r="88" customFormat="false" ht="15" hidden="false" customHeight="true" outlineLevel="0" collapsed="false">
      <c r="A88" s="1" t="s">
        <v>1261</v>
      </c>
      <c r="B88" s="1" t="n">
        <f aca="false">(LARGE(B82:B87,1)+LARGE(B82:B87,2)+LARGE(B82:B87,3))/SUM(B82:B87)</f>
        <v>0.971312640329952</v>
      </c>
      <c r="C88" s="1" t="n">
        <f aca="false">(LARGE(C82:C87,1)+LARGE(C82:C87,2)+LARGE(C82:C87,3))/SUM(C82:C87)</f>
        <v>0.975710150624246</v>
      </c>
      <c r="D88" s="1" t="n">
        <f aca="false">(LARGE(D82:D87,1)+LARGE(D82:D87,2)+LARGE(D82:D87,3))/SUM(D82:D87)</f>
        <v>0.979786934524832</v>
      </c>
      <c r="E88" s="1" t="n">
        <f aca="false">(LARGE(E82:E87,1)+LARGE(E82:E87,2)+LARGE(E82:E87,3))/SUM(E82:E87)</f>
        <v>0.983588063140678</v>
      </c>
      <c r="F88" s="1" t="n">
        <f aca="false">(LARGE(F82:F87,1)+LARGE(F82:F87,2)+LARGE(F82:F87,3))/SUM(F82:F87)</f>
        <v>0.984929260351625</v>
      </c>
    </row>
    <row r="90" customFormat="false" ht="15" hidden="false" customHeight="true" outlineLevel="0" collapsed="false">
      <c r="A90" s="1" t="s">
        <v>266</v>
      </c>
    </row>
    <row r="91" customFormat="false" ht="15" hidden="false" customHeight="true" outlineLevel="0" collapsed="false">
      <c r="B91" s="1" t="n">
        <f aca="false">(Head_EPV_06!D38+Head_EPV_06!D43)/2</f>
        <v>2540.75908112786</v>
      </c>
      <c r="C91" s="1" t="n">
        <f aca="false">(Head_EPV_06!E38+Head_EPV_06!E43)/2</f>
        <v>2789.87691498197</v>
      </c>
      <c r="D91" s="1" t="n">
        <f aca="false">(Head_EPV_06!F38+Head_EPV_06!F43)/2</f>
        <v>3011.13404415246</v>
      </c>
      <c r="E91" s="1" t="n">
        <f aca="false">(Head_EPV_06!G38+Head_EPV_06!G43)/2</f>
        <v>3146.41161188823</v>
      </c>
      <c r="F91" s="1" t="n">
        <f aca="false">(Head_EPV_06!H38+Head_EPV_06!H43)/2</f>
        <v>3114.11649004282</v>
      </c>
    </row>
    <row r="92" customFormat="false" ht="15" hidden="false" customHeight="true" outlineLevel="0" collapsed="false">
      <c r="B92" s="1" t="n">
        <f aca="false">Head_EPV_06!D44/2</f>
        <v>14.6039856153125</v>
      </c>
      <c r="C92" s="1" t="n">
        <f aca="false">Head_EPV_06!E44/2</f>
        <v>16.6895198688839</v>
      </c>
      <c r="D92" s="1" t="n">
        <f aca="false">Head_EPV_06!F44/2</f>
        <v>18.3140724967795</v>
      </c>
      <c r="E92" s="1" t="n">
        <f aca="false">Head_EPV_06!G44/2</f>
        <v>18.8102474950951</v>
      </c>
      <c r="F92" s="1" t="n">
        <f aca="false">Head_EPV_06!H44/2</f>
        <v>17.7436688188339</v>
      </c>
    </row>
    <row r="93" customFormat="false" ht="15" hidden="false" customHeight="true" outlineLevel="0" collapsed="false">
      <c r="B93" s="1" t="n">
        <f aca="false">(Head_EPV_06!D39+Head_EPV_06!D45)/2</f>
        <v>1344.03195541677</v>
      </c>
      <c r="C93" s="1" t="n">
        <f aca="false">(Head_EPV_06!E39+Head_EPV_06!E45)/2</f>
        <v>1504.47894923984</v>
      </c>
      <c r="D93" s="1" t="n">
        <f aca="false">(Head_EPV_06!F39+Head_EPV_06!F45)/2</f>
        <v>1690.4809894783</v>
      </c>
      <c r="E93" s="1" t="n">
        <f aca="false">(Head_EPV_06!G39+Head_EPV_06!G45)/2</f>
        <v>1906.10833249365</v>
      </c>
      <c r="F93" s="1" t="n">
        <f aca="false">(Head_EPV_06!H39+Head_EPV_06!H45)/2</f>
        <v>1529.49326112829</v>
      </c>
    </row>
    <row r="94" customFormat="false" ht="15" hidden="false" customHeight="true" outlineLevel="0" collapsed="false">
      <c r="B94" s="1" t="n">
        <f aca="false">(Head_EPV_06!D40+Head_EPV_06!D46)/2</f>
        <v>1440.49910537282</v>
      </c>
      <c r="C94" s="1" t="n">
        <f aca="false">(Head_EPV_06!E40+Head_EPV_06!E46)/2</f>
        <v>1575.85515473008</v>
      </c>
      <c r="D94" s="1" t="n">
        <f aca="false">(Head_EPV_06!F40+Head_EPV_06!F46)/2</f>
        <v>1732.76991354962</v>
      </c>
      <c r="E94" s="1" t="n">
        <f aca="false">(Head_EPV_06!G40+Head_EPV_06!G46)/2</f>
        <v>1914.67712532416</v>
      </c>
      <c r="F94" s="1" t="n">
        <f aca="false">(Head_EPV_06!H40+Head_EPV_06!H46)/2</f>
        <v>1536.36900405792</v>
      </c>
    </row>
    <row r="95" customFormat="false" ht="15" hidden="false" customHeight="true" outlineLevel="0" collapsed="false">
      <c r="B95" s="1" t="n">
        <f aca="false">(Head_EPV_06!D41+Head_EPV_06!D47)/2</f>
        <v>130.762106489054</v>
      </c>
      <c r="C95" s="1" t="n">
        <f aca="false">(Head_EPV_06!E41+Head_EPV_06!E47)/2</f>
        <v>119.279971548575</v>
      </c>
      <c r="D95" s="1" t="n">
        <f aca="false">(Head_EPV_06!F41+Head_EPV_06!F47)/2</f>
        <v>105.969030194464</v>
      </c>
      <c r="E95" s="1" t="n">
        <f aca="false">(Head_EPV_06!G41+Head_EPV_06!G47)/2</f>
        <v>90.538000978115</v>
      </c>
      <c r="F95" s="1" t="n">
        <f aca="false">(Head_EPV_06!H41+Head_EPV_06!H47)/2</f>
        <v>72.6492088678356</v>
      </c>
    </row>
    <row r="96" customFormat="false" ht="15" hidden="false" customHeight="true" outlineLevel="0" collapsed="false">
      <c r="B96" s="1" t="n">
        <f aca="false">(Head_EPV_06!D42+Head_EPV_06!D48)/2</f>
        <v>44.9712121977506</v>
      </c>
      <c r="C96" s="1" t="n">
        <f aca="false">(Head_EPV_06!E42+Head_EPV_06!E48)/2</f>
        <v>41.0223195043256</v>
      </c>
      <c r="D96" s="1" t="n">
        <f aca="false">(Head_EPV_06!F42+Head_EPV_06!F48)/2</f>
        <v>36.4444705826454</v>
      </c>
      <c r="E96" s="1" t="n">
        <f aca="false">(Head_EPV_06!G42+Head_EPV_06!G48)/2</f>
        <v>31.1374890116792</v>
      </c>
      <c r="F96" s="1" t="n">
        <f aca="false">(Head_EPV_06!H42+Head_EPV_06!H48)/2</f>
        <v>24.9852428636703</v>
      </c>
    </row>
    <row r="97" customFormat="false" ht="15" hidden="false" customHeight="true" outlineLevel="0" collapsed="false">
      <c r="A97" s="1" t="s">
        <v>1261</v>
      </c>
      <c r="B97" s="1" t="n">
        <f aca="false">(LARGE(B91:B96,1)+LARGE(B91:B96,2)+LARGE(B91:B96,3))/SUM(B91:B96)</f>
        <v>0.965491268915819</v>
      </c>
      <c r="C97" s="1" t="n">
        <f aca="false">(LARGE(C91:C96,1)+LARGE(C91:C96,2)+LARGE(C91:C96,3))/SUM(C91:C96)</f>
        <v>0.970731623214715</v>
      </c>
      <c r="D97" s="1" t="n">
        <f aca="false">(LARGE(D91:D96,1)+LARGE(D91:D96,2)+LARGE(D91:D96,3))/SUM(D91:D96)</f>
        <v>0.975629290209166</v>
      </c>
      <c r="E97" s="1" t="n">
        <f aca="false">(LARGE(E91:E96,1)+LARGE(E91:E96,2)+LARGE(E91:E96,3))/SUM(E91:E96)</f>
        <v>0.980234664194249</v>
      </c>
      <c r="F97" s="1" t="n">
        <f aca="false">(LARGE(F91:F96,1)+LARGE(F91:F96,2)+LARGE(F91:F96,3))/SUM(F91:F96)</f>
        <v>0.981672505176912</v>
      </c>
    </row>
    <row r="99" customFormat="false" ht="15" hidden="false" customHeight="true" outlineLevel="0" collapsed="false">
      <c r="A99" s="1" t="s">
        <v>267</v>
      </c>
    </row>
    <row r="100" customFormat="false" ht="15" hidden="false" customHeight="true" outlineLevel="0" collapsed="false">
      <c r="B100" s="1" t="n">
        <f aca="false">(Head_EPV_06!D49+Head_EPV_06!D54)/2</f>
        <v>10163.0363245115</v>
      </c>
      <c r="C100" s="1" t="n">
        <f aca="false">(Head_EPV_06!E49+Head_EPV_06!E54)/2</f>
        <v>11159.5076599279</v>
      </c>
      <c r="D100" s="1" t="n">
        <f aca="false">(Head_EPV_06!F49+Head_EPV_06!F54)/2</f>
        <v>12044.5361766098</v>
      </c>
      <c r="E100" s="1" t="n">
        <f aca="false">(Head_EPV_06!G49+Head_EPV_06!G54)/2</f>
        <v>12585.6464475529</v>
      </c>
      <c r="F100" s="1" t="n">
        <f aca="false">(Head_EPV_06!H49+Head_EPV_06!H54)/2</f>
        <v>12456.4659601713</v>
      </c>
    </row>
    <row r="101" customFormat="false" ht="15" hidden="false" customHeight="true" outlineLevel="0" collapsed="false">
      <c r="B101" s="1" t="n">
        <f aca="false">Head_EPV_06!D55/2</f>
        <v>29.207971230625</v>
      </c>
      <c r="C101" s="1" t="n">
        <f aca="false">Head_EPV_06!E55/2</f>
        <v>33.3790397377678</v>
      </c>
      <c r="D101" s="1" t="n">
        <f aca="false">Head_EPV_06!F55/2</f>
        <v>36.6281449935591</v>
      </c>
      <c r="E101" s="1" t="n">
        <f aca="false">Head_EPV_06!G55/2</f>
        <v>37.6204949901902</v>
      </c>
      <c r="F101" s="1" t="n">
        <f aca="false">Head_EPV_06!H55/2</f>
        <v>35.4873376376679</v>
      </c>
    </row>
    <row r="102" customFormat="false" ht="15" hidden="false" customHeight="true" outlineLevel="0" collapsed="false">
      <c r="B102" s="1" t="n">
        <f aca="false">(Head_EPV_06!D50+Head_EPV_06!D56)/2</f>
        <v>2016.04793312515</v>
      </c>
      <c r="C102" s="1" t="n">
        <f aca="false">(Head_EPV_06!E50+Head_EPV_06!E56)/2</f>
        <v>2256.71842385976</v>
      </c>
      <c r="D102" s="1" t="n">
        <f aca="false">(Head_EPV_06!F50+Head_EPV_06!F56)/2</f>
        <v>2535.72148421745</v>
      </c>
      <c r="E102" s="1" t="n">
        <f aca="false">(Head_EPV_06!G50+Head_EPV_06!G56)/2</f>
        <v>2859.16249874048</v>
      </c>
      <c r="F102" s="1" t="n">
        <f aca="false">(Head_EPV_06!H50+Head_EPV_06!H56)/2</f>
        <v>2294.23989169243</v>
      </c>
    </row>
    <row r="103" customFormat="false" ht="15" hidden="false" customHeight="true" outlineLevel="0" collapsed="false">
      <c r="B103" s="1" t="n">
        <f aca="false">(Head_EPV_06!D51+Head_EPV_06!D57)/2</f>
        <v>480.166368457608</v>
      </c>
      <c r="C103" s="1" t="n">
        <f aca="false">(Head_EPV_06!E51+Head_EPV_06!E57)/2</f>
        <v>525.285051576694</v>
      </c>
      <c r="D103" s="1" t="n">
        <f aca="false">(Head_EPV_06!F51+Head_EPV_06!F57)/2</f>
        <v>577.589971183208</v>
      </c>
      <c r="E103" s="1" t="n">
        <f aca="false">(Head_EPV_06!G51+Head_EPV_06!G57)/2</f>
        <v>638.225708441385</v>
      </c>
      <c r="F103" s="1" t="n">
        <f aca="false">(Head_EPV_06!H51+Head_EPV_06!H57)/2</f>
        <v>512.123001352641</v>
      </c>
    </row>
    <row r="104" customFormat="false" ht="15" hidden="false" customHeight="true" outlineLevel="0" collapsed="false">
      <c r="B104" s="1" t="n">
        <f aca="false">(Head_EPV_06!D52+Head_EPV_06!D58)/2</f>
        <v>43.5873688296848</v>
      </c>
      <c r="C104" s="1" t="n">
        <f aca="false">(Head_EPV_06!E52+Head_EPV_06!E58)/2</f>
        <v>39.7599905161918</v>
      </c>
      <c r="D104" s="1" t="n">
        <f aca="false">(Head_EPV_06!F52+Head_EPV_06!F58)/2</f>
        <v>35.3230100648214</v>
      </c>
      <c r="E104" s="1" t="n">
        <f aca="false">(Head_EPV_06!G52+Head_EPV_06!G58)/2</f>
        <v>30.1793336593717</v>
      </c>
      <c r="F104" s="1" t="n">
        <f aca="false">(Head_EPV_06!H52+Head_EPV_06!H58)/2</f>
        <v>24.2164029559452</v>
      </c>
    </row>
    <row r="105" customFormat="false" ht="15" hidden="false" customHeight="true" outlineLevel="0" collapsed="false">
      <c r="B105" s="1" t="n">
        <f aca="false">(Head_EPV_06!D53+Head_EPV_06!D59)/2</f>
        <v>224.856060988753</v>
      </c>
      <c r="C105" s="1" t="n">
        <f aca="false">(Head_EPV_06!E53+Head_EPV_06!E59)/2</f>
        <v>205.111597521628</v>
      </c>
      <c r="D105" s="1" t="n">
        <f aca="false">(Head_EPV_06!F53+Head_EPV_06!F59)/2</f>
        <v>182.222352913227</v>
      </c>
      <c r="E105" s="1" t="n">
        <f aca="false">(Head_EPV_06!G53+Head_EPV_06!G59)/2</f>
        <v>155.687445058396</v>
      </c>
      <c r="F105" s="1" t="n">
        <f aca="false">(Head_EPV_06!H53+Head_EPV_06!H59)/2</f>
        <v>124.926214318351</v>
      </c>
    </row>
    <row r="106" customFormat="false" ht="15" hidden="false" customHeight="true" outlineLevel="0" collapsed="false">
      <c r="A106" s="1" t="s">
        <v>1261</v>
      </c>
      <c r="B106" s="1" t="n">
        <f aca="false">(LARGE(B100:B105,1)+LARGE(B100:B105,2)+LARGE(B100:B105,3))/SUM(B100:B105)</f>
        <v>0.977027579553699</v>
      </c>
      <c r="C106" s="1" t="n">
        <f aca="false">(LARGE(C100:C105,1)+LARGE(C100:C105,2)+LARGE(C100:C105,3))/SUM(C100:C105)</f>
        <v>0.980432117470712</v>
      </c>
      <c r="D106" s="1" t="n">
        <f aca="false">(LARGE(D100:D105,1)+LARGE(D100:D105,2)+LARGE(D100:D105,3))/SUM(D100:D105)</f>
        <v>0.983508100224946</v>
      </c>
      <c r="E106" s="1" t="n">
        <f aca="false">(LARGE(E100:E105,1)+LARGE(E100:E105,2)+LARGE(E100:E105,3))/SUM(E100:E105)</f>
        <v>0.986294608090635</v>
      </c>
      <c r="F106" s="1" t="n">
        <f aca="false">(LARGE(F100:F105,1)+LARGE(F100:F105,2)+LARGE(F100:F105,3))/SUM(F100:F105)</f>
        <v>0.988047875239207</v>
      </c>
    </row>
    <row r="108" customFormat="false" ht="15" hidden="false" customHeight="true" outlineLevel="0" collapsed="false">
      <c r="A108" s="1" t="s">
        <v>268</v>
      </c>
    </row>
    <row r="109" customFormat="false" ht="15" hidden="false" customHeight="true" outlineLevel="0" collapsed="false">
      <c r="B109" s="1" t="n">
        <f aca="false">(Head_EPV_06!D60+Head_EPV_06!D65)/2</f>
        <v>7622.27724338359</v>
      </c>
      <c r="C109" s="1" t="n">
        <f aca="false">(Head_EPV_06!E60+Head_EPV_06!E65)/2</f>
        <v>8369.6307449459</v>
      </c>
      <c r="D109" s="1" t="n">
        <f aca="false">(Head_EPV_06!F60+Head_EPV_06!F65)/2</f>
        <v>9033.40213245737</v>
      </c>
      <c r="E109" s="1" t="n">
        <f aca="false">(Head_EPV_06!G60+Head_EPV_06!G65)/2</f>
        <v>9439.2348356647</v>
      </c>
      <c r="F109" s="1" t="n">
        <f aca="false">(Head_EPV_06!H60+Head_EPV_06!H65)/2</f>
        <v>9342.34947012847</v>
      </c>
    </row>
    <row r="110" customFormat="false" ht="15" hidden="false" customHeight="true" outlineLevel="0" collapsed="false">
      <c r="B110" s="1" t="n">
        <f aca="false">Head_EPV_06!D66/2</f>
        <v>0</v>
      </c>
      <c r="C110" s="1" t="n">
        <f aca="false">Head_EPV_06!E66/2</f>
        <v>0</v>
      </c>
      <c r="D110" s="1" t="n">
        <f aca="false">Head_EPV_06!F66/2</f>
        <v>0</v>
      </c>
      <c r="E110" s="1" t="n">
        <f aca="false">Head_EPV_06!G66/2</f>
        <v>0</v>
      </c>
      <c r="F110" s="1" t="n">
        <f aca="false">Head_EPV_06!H66/2</f>
        <v>0</v>
      </c>
    </row>
    <row r="111" customFormat="false" ht="15" hidden="false" customHeight="true" outlineLevel="0" collapsed="false">
      <c r="B111" s="1" t="n">
        <f aca="false">(Head_EPV_06!D61+Head_EPV_06!D67)/2</f>
        <v>3360.07988854192</v>
      </c>
      <c r="C111" s="1" t="n">
        <f aca="false">(Head_EPV_06!E61+Head_EPV_06!E67)/2</f>
        <v>3761.1973730996</v>
      </c>
      <c r="D111" s="1" t="n">
        <f aca="false">(Head_EPV_06!F61+Head_EPV_06!F67)/2</f>
        <v>4226.20247369575</v>
      </c>
      <c r="E111" s="1" t="n">
        <f aca="false">(Head_EPV_06!G61+Head_EPV_06!G67)/2</f>
        <v>4765.27083123413</v>
      </c>
      <c r="F111" s="1" t="n">
        <f aca="false">(Head_EPV_06!H61+Head_EPV_06!H67)/2</f>
        <v>3823.73315282072</v>
      </c>
    </row>
    <row r="112" customFormat="false" ht="15" hidden="false" customHeight="true" outlineLevel="0" collapsed="false">
      <c r="B112" s="1" t="n">
        <f aca="false">(Head_EPV_06!D62+Head_EPV_06!D68)/2</f>
        <v>2400.83184228804</v>
      </c>
      <c r="C112" s="1" t="n">
        <f aca="false">(Head_EPV_06!E62+Head_EPV_06!E68)/2</f>
        <v>2626.42525788347</v>
      </c>
      <c r="D112" s="1" t="n">
        <f aca="false">(Head_EPV_06!F62+Head_EPV_06!F68)/2</f>
        <v>2887.94985591604</v>
      </c>
      <c r="E112" s="1" t="n">
        <f aca="false">(Head_EPV_06!G62+Head_EPV_06!G68)/2</f>
        <v>3191.12854220693</v>
      </c>
      <c r="F112" s="1" t="n">
        <f aca="false">(Head_EPV_06!H62+Head_EPV_06!H68)/2</f>
        <v>2560.6150067632</v>
      </c>
    </row>
    <row r="113" customFormat="false" ht="15" hidden="false" customHeight="true" outlineLevel="0" collapsed="false">
      <c r="B113" s="1" t="n">
        <f aca="false">(Head_EPV_06!D63+Head_EPV_06!D69)/2</f>
        <v>217.936844148424</v>
      </c>
      <c r="C113" s="1" t="n">
        <f aca="false">(Head_EPV_06!E63+Head_EPV_06!E69)/2</f>
        <v>198.799952580959</v>
      </c>
      <c r="D113" s="1" t="n">
        <f aca="false">(Head_EPV_06!F63+Head_EPV_06!F69)/2</f>
        <v>176.615050324107</v>
      </c>
      <c r="E113" s="1" t="n">
        <f aca="false">(Head_EPV_06!G63+Head_EPV_06!G69)/2</f>
        <v>150.896668296858</v>
      </c>
      <c r="F113" s="1" t="n">
        <f aca="false">(Head_EPV_06!H63+Head_EPV_06!H69)/2</f>
        <v>121.082014779726</v>
      </c>
    </row>
    <row r="114" customFormat="false" ht="15" hidden="false" customHeight="true" outlineLevel="0" collapsed="false">
      <c r="B114" s="1" t="n">
        <f aca="false">(Head_EPV_06!D64+Head_EPV_06!D70)/2</f>
        <v>134.913636593252</v>
      </c>
      <c r="C114" s="1" t="n">
        <f aca="false">(Head_EPV_06!E64+Head_EPV_06!E70)/2</f>
        <v>123.066958512977</v>
      </c>
      <c r="D114" s="1" t="n">
        <f aca="false">(Head_EPV_06!F64+Head_EPV_06!F70)/2</f>
        <v>109.333411747936</v>
      </c>
      <c r="E114" s="1" t="n">
        <f aca="false">(Head_EPV_06!G64+Head_EPV_06!G70)/2</f>
        <v>93.4124670350377</v>
      </c>
      <c r="F114" s="1" t="n">
        <f aca="false">(Head_EPV_06!H64+Head_EPV_06!H70)/2</f>
        <v>74.9557285910108</v>
      </c>
    </row>
    <row r="115" customFormat="false" ht="15" hidden="false" customHeight="true" outlineLevel="0" collapsed="false">
      <c r="A115" s="1" t="s">
        <v>1261</v>
      </c>
      <c r="B115" s="1" t="n">
        <f aca="false">(LARGE(B109:B114,1)+LARGE(B109:B114,2)+LARGE(B109:B114,3))/SUM(B109:B114)</f>
        <v>0.974312065577652</v>
      </c>
      <c r="C115" s="1" t="n">
        <f aca="false">(LARGE(C109:C114,1)+LARGE(C109:C114,2)+LARGE(C109:C114,3))/SUM(C109:C114)</f>
        <v>0.978654795175887</v>
      </c>
      <c r="D115" s="1" t="n">
        <f aca="false">(LARGE(D109:D114,1)+LARGE(D109:D114,2)+LARGE(D109:D114,3))/SUM(D109:D114)</f>
        <v>0.982599664636809</v>
      </c>
      <c r="E115" s="1" t="n">
        <f aca="false">(LARGE(E109:E114,1)+LARGE(E109:E114,2)+LARGE(E109:E114,3))/SUM(E109:E114)</f>
        <v>0.986150231292612</v>
      </c>
      <c r="F115" s="1" t="n">
        <f aca="false">(LARGE(F109:F114,1)+LARGE(F109:F114,2)+LARGE(F109:F114,3))/SUM(F109:F114)</f>
        <v>0.987688186811034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1262</v>
      </c>
    </row>
    <row r="2" customFormat="false" ht="15" hidden="false" customHeight="true" outlineLevel="0" collapsed="false">
      <c r="A2" s="1" t="s">
        <v>1263</v>
      </c>
    </row>
    <row r="4" customFormat="false" ht="15" hidden="false" customHeight="true" outlineLevel="0" collapsed="false">
      <c r="A4" s="1" t="s">
        <v>1264</v>
      </c>
      <c r="B4" s="1" t="s">
        <v>697</v>
      </c>
      <c r="C4" s="1" t="s">
        <v>1265</v>
      </c>
      <c r="E4" s="1" t="s">
        <v>1266</v>
      </c>
      <c r="G4" s="1" t="s">
        <v>1267</v>
      </c>
      <c r="H4" s="1" t="s">
        <v>1268</v>
      </c>
      <c r="I4" s="1" t="s">
        <v>1269</v>
      </c>
    </row>
    <row r="5" customFormat="false" ht="15" hidden="false" customHeight="true" outlineLevel="0" collapsed="false">
      <c r="A5" s="1" t="n">
        <v>1</v>
      </c>
      <c r="B5" s="1" t="str">
        <f aca="false">Marginal_06!B5</f>
        <v>Cancer (invasive)</v>
      </c>
      <c r="C5" s="1" t="n">
        <f aca="false">AVERAGE(Marginal_06!D5:H5)</f>
        <v>8369.6307449459</v>
      </c>
      <c r="E5" s="1" t="n">
        <f aca="false">SMALL($C$5:$C$62,A5)</f>
        <v>0</v>
      </c>
      <c r="G5" s="1" t="n">
        <f aca="false">SMALL($C$5:$C$10,A5)</f>
        <v>26.1469144612514</v>
      </c>
      <c r="H5" s="1" t="n">
        <f aca="false">(Concentration_06!E6+Concentration_06!E17+Concentration_06!E28+Concentration_06!E39+Concentration_06!E50)/5</f>
        <v>13949.3845749098</v>
      </c>
      <c r="I5" s="1" t="n">
        <f aca="false">SMALL($H$5:$H$10,A5)</f>
        <v>36.1606263825817</v>
      </c>
    </row>
    <row r="6" customFormat="false" ht="15" hidden="false" customHeight="true" outlineLevel="0" collapsed="false">
      <c r="A6" s="1" t="n">
        <v>2</v>
      </c>
      <c r="B6" s="1" t="str">
        <f aca="false">Marginal_06!B6</f>
        <v>Carcinoma in situ - breast (DCIS)</v>
      </c>
      <c r="C6" s="1" t="n">
        <f aca="false">AVERAGE(Marginal_06!D6:H6)</f>
        <v>26.1469144612514</v>
      </c>
      <c r="E6" s="1" t="n">
        <f aca="false">SMALL($C$5:$C$62,A6)</f>
        <v>26.1469144612514</v>
      </c>
      <c r="G6" s="1" t="n">
        <f aca="false">SMALL($C$5:$C$10,A6)</f>
        <v>119.279971548575</v>
      </c>
      <c r="H6" s="1" t="n">
        <f aca="false">(Concentration_06!E7+Concentration_06!E18+Concentration_06!E29+Concentration_06!E40+Concentration_06!E51)/5</f>
        <v>36.1606263825817</v>
      </c>
      <c r="I6" s="1" t="n">
        <f aca="false">SMALL($H$5:$H$10,A6)</f>
        <v>198.799952580959</v>
      </c>
    </row>
    <row r="7" customFormat="false" ht="15" hidden="false" customHeight="true" outlineLevel="0" collapsed="false">
      <c r="A7" s="1" t="n">
        <v>3</v>
      </c>
      <c r="B7" s="1" t="str">
        <f aca="false">Marginal_06!B7</f>
        <v>Heart attack</v>
      </c>
      <c r="C7" s="1" t="n">
        <f aca="false">AVERAGE(Marginal_06!D7:H7)</f>
        <v>2256.71842385976</v>
      </c>
      <c r="E7" s="1" t="n">
        <f aca="false">SMALL($C$5:$C$62,A7)</f>
        <v>119.279971548575</v>
      </c>
      <c r="G7" s="1" t="n">
        <f aca="false">SMALL($C$5:$C$10,A7)</f>
        <v>123.066958512977</v>
      </c>
      <c r="H7" s="1" t="n">
        <f aca="false">(Concentration_06!E8+Concentration_06!E19+Concentration_06!E30+Concentration_06!E41+Concentration_06!E52)/5</f>
        <v>3761.1973730996</v>
      </c>
      <c r="I7" s="1" t="n">
        <f aca="false">SMALL($H$5:$H$10,A7)</f>
        <v>205.111597521628</v>
      </c>
    </row>
    <row r="8" customFormat="false" ht="15" hidden="false" customHeight="true" outlineLevel="0" collapsed="false">
      <c r="A8" s="1" t="n">
        <v>4</v>
      </c>
      <c r="B8" s="1" t="str">
        <f aca="false">Marginal_06!B8</f>
        <v>Stroke</v>
      </c>
      <c r="C8" s="1" t="n">
        <f aca="false">AVERAGE(Marginal_06!D8:H8)</f>
        <v>1575.85515473008</v>
      </c>
      <c r="E8" s="1" t="n">
        <f aca="false">SMALL($C$5:$C$62,A8)</f>
        <v>123.066958512977</v>
      </c>
      <c r="G8" s="1" t="n">
        <f aca="false">SMALL($C$5:$C$10,A8)</f>
        <v>1575.85515473008</v>
      </c>
      <c r="H8" s="1" t="n">
        <f aca="false">(Concentration_06!E9+Concentration_06!E20+Concentration_06!E31+Concentration_06!E42+Concentration_06!E53)/5</f>
        <v>2626.42525788347</v>
      </c>
      <c r="I8" s="1" t="n">
        <f aca="false">SMALL($H$5:$H$10,A8)</f>
        <v>2626.42525788347</v>
      </c>
    </row>
    <row r="9" customFormat="false" ht="15" hidden="false" customHeight="true" outlineLevel="0" collapsed="false">
      <c r="A9" s="1" t="n">
        <v>5</v>
      </c>
      <c r="B9" s="1" t="str">
        <f aca="false">Marginal_06!B9</f>
        <v>Multiple sclerosis</v>
      </c>
      <c r="C9" s="1" t="n">
        <f aca="false">AVERAGE(Marginal_06!D9:H9)</f>
        <v>119.279971548575</v>
      </c>
      <c r="E9" s="1" t="n">
        <f aca="false">SMALL($C$5:$C$62,A9)</f>
        <v>133.332777280942</v>
      </c>
      <c r="G9" s="1" t="n">
        <f aca="false">SMALL($C$5:$C$10,A9)</f>
        <v>2256.71842385976</v>
      </c>
      <c r="H9" s="1" t="n">
        <f aca="false">(Concentration_06!E10+Concentration_06!E21+Concentration_06!E32+Concentration_06!E43+Concentration_06!E54)/5</f>
        <v>198.799952580959</v>
      </c>
      <c r="I9" s="1" t="n">
        <f aca="false">SMALL($H$5:$H$10,A9)</f>
        <v>3761.1973730996</v>
      </c>
    </row>
    <row r="10" customFormat="false" ht="15" hidden="false" customHeight="true" outlineLevel="0" collapsed="false">
      <c r="A10" s="1" t="n">
        <v>6</v>
      </c>
      <c r="B10" s="1" t="str">
        <f aca="false">Marginal_06!B10</f>
        <v>Kidney failure</v>
      </c>
      <c r="C10" s="1" t="n">
        <f aca="false">AVERAGE(Marginal_06!D10:H10)</f>
        <v>123.066958512977</v>
      </c>
      <c r="E10" s="1" t="n">
        <f aca="false">SMALL($C$5:$C$62,A10)</f>
        <v>404.855133946718</v>
      </c>
      <c r="G10" s="1" t="n">
        <f aca="false">SMALL($C$5:$C$10,A10)</f>
        <v>8369.6307449459</v>
      </c>
      <c r="H10" s="1" t="n">
        <f aca="false">(Concentration_06!E11+Concentration_06!E22+Concentration_06!E33+Concentration_06!E44+Concentration_06!E55)/5</f>
        <v>205.111597521628</v>
      </c>
      <c r="I10" s="1" t="n">
        <f aca="false">SMALL($H$5:$H$10,A10)</f>
        <v>13949.3845749098</v>
      </c>
    </row>
    <row r="11" customFormat="false" ht="15" hidden="false" customHeight="true" outlineLevel="0" collapsed="false">
      <c r="A11" s="1" t="n">
        <v>7</v>
      </c>
      <c r="B11" s="1" t="str">
        <f aca="false">Tail_bounds!B18</f>
        <v>Chronic / Severe Rheumatoid Arthritis</v>
      </c>
      <c r="C11" s="1" t="n">
        <f aca="false">AVERAGE(Tail_bounds!S18:W18)</f>
        <v>1279.66707481928</v>
      </c>
      <c r="E11" s="1" t="n">
        <f aca="false">SMALL($C$5:$C$62,A11)</f>
        <v>640.004207960019</v>
      </c>
    </row>
    <row r="12" customFormat="false" ht="15" hidden="false" customHeight="true" outlineLevel="0" collapsed="false">
      <c r="A12" s="1" t="n">
        <v>8</v>
      </c>
      <c r="B12" s="1" t="str">
        <f aca="false">Tail_bounds!B19</f>
        <v>Aorta Graft Surgery</v>
      </c>
      <c r="C12" s="1" t="n">
        <f aca="false">AVERAGE(Tail_bounds!S19:W19)</f>
        <v>75157.9489945493</v>
      </c>
      <c r="E12" s="1" t="n">
        <f aca="false">SMALL($C$5:$C$62,A12)</f>
        <v>640.004207960019</v>
      </c>
    </row>
    <row r="13" customFormat="false" ht="15" hidden="false" customHeight="true" outlineLevel="0" collapsed="false">
      <c r="A13" s="1" t="n">
        <v>9</v>
      </c>
      <c r="B13" s="1" t="str">
        <f aca="false">Tail_bounds!B20</f>
        <v>Aortic Aneurysm – Endovascular Repair (Partial)</v>
      </c>
      <c r="C13" s="1" t="n">
        <f aca="false">AVERAGE(Tail_bounds!S20:W20)</f>
        <v>7469.11294355769</v>
      </c>
      <c r="E13" s="1" t="n">
        <f aca="false">SMALL($C$5:$C$62,A13)</f>
        <v>640.004207960019</v>
      </c>
    </row>
    <row r="14" customFormat="false" ht="15" hidden="false" customHeight="true" outlineLevel="0" collapsed="false">
      <c r="A14" s="1" t="n">
        <v>10</v>
      </c>
      <c r="B14" s="1" t="str">
        <f aca="false">Tail_bounds!B21</f>
        <v>Balloon Valvuloplasty</v>
      </c>
      <c r="C14" s="1" t="n">
        <f aca="false">AVERAGE(Tail_bounds!S21:W21)</f>
        <v>60126.3591956394</v>
      </c>
      <c r="E14" s="1" t="n">
        <f aca="false">SMALL($C$5:$C$62,A14)</f>
        <v>640.004207960019</v>
      </c>
    </row>
    <row r="15" customFormat="false" ht="15" hidden="false" customHeight="true" outlineLevel="0" collapsed="false">
      <c r="A15" s="1" t="n">
        <v>11</v>
      </c>
      <c r="B15" s="1" t="str">
        <f aca="false">Tail_bounds!B22</f>
        <v>Cardiac Arrest with Defibrillator Insertion</v>
      </c>
      <c r="C15" s="1" t="n">
        <f aca="false">AVERAGE(Tail_bounds!S22:W22)</f>
        <v>75157.9489945493</v>
      </c>
      <c r="E15" s="1" t="n">
        <f aca="false">SMALL($C$5:$C$62,A15)</f>
        <v>640.004207960019</v>
      </c>
    </row>
    <row r="16" customFormat="false" ht="15" hidden="false" customHeight="true" outlineLevel="0" collapsed="false">
      <c r="A16" s="1" t="n">
        <v>12</v>
      </c>
      <c r="B16" s="1" t="str">
        <f aca="false">Tail_bounds!B24</f>
        <v>Carotid Artery Stenosis – Treated by Endarterectomy or Angioplasty</v>
      </c>
      <c r="C16" s="1" t="n">
        <f aca="false">AVERAGE(Tail_bounds!S24:W24)</f>
        <v>7469.11294355769</v>
      </c>
      <c r="E16" s="1" t="n">
        <f aca="false">SMALL($C$5:$C$62,A16)</f>
        <v>768.005049552023</v>
      </c>
    </row>
    <row r="17" customFormat="false" ht="15" hidden="false" customHeight="true" outlineLevel="0" collapsed="false">
      <c r="A17" s="1" t="n">
        <v>13</v>
      </c>
      <c r="B17" s="1" t="str">
        <f aca="false">Tail_bounds!B25</f>
        <v>Coronary Angioplasty (Partial Payment)</v>
      </c>
      <c r="C17" s="1" t="n">
        <f aca="false">AVERAGE(Tail_bounds!S25:W25)</f>
        <v>2781.93313469102</v>
      </c>
      <c r="E17" s="1" t="n">
        <f aca="false">SMALL($C$5:$C$62,A17)</f>
        <v>832.005470348025</v>
      </c>
    </row>
    <row r="18" customFormat="false" ht="15" hidden="false" customHeight="true" outlineLevel="0" collapsed="false">
      <c r="A18" s="1" t="n">
        <v>14</v>
      </c>
      <c r="B18" s="1" t="str">
        <f aca="false">Tail_bounds!B26</f>
        <v>Coronary Angioplasty – Single Vessel</v>
      </c>
      <c r="C18" s="1" t="n">
        <f aca="false">AVERAGE(Tail_bounds!S26:W26)</f>
        <v>404.855133946718</v>
      </c>
      <c r="E18" s="1" t="n">
        <f aca="false">SMALL($C$5:$C$62,A18)</f>
        <v>832.005470348025</v>
      </c>
    </row>
    <row r="19" customFormat="false" ht="15" hidden="false" customHeight="true" outlineLevel="0" collapsed="false">
      <c r="A19" s="1" t="n">
        <v>15</v>
      </c>
      <c r="B19" s="1" t="str">
        <f aca="false">Tail_bounds!B27</f>
        <v>Coronary Angioplasty – Two or More Vessels</v>
      </c>
      <c r="C19" s="1" t="n">
        <f aca="false">AVERAGE(Tail_bounds!S27:W27)</f>
        <v>2781.93313469102</v>
      </c>
      <c r="E19" s="1" t="n">
        <f aca="false">SMALL($C$5:$C$62,A19)</f>
        <v>832.005470348025</v>
      </c>
    </row>
    <row r="20" customFormat="false" ht="15" hidden="false" customHeight="true" outlineLevel="0" collapsed="false">
      <c r="A20" s="1" t="n">
        <v>16</v>
      </c>
      <c r="B20" s="1" t="str">
        <f aca="false">Tail_bounds!B28</f>
        <v>Coronary Artery Bypass Graft (CABG) – Open Surgery</v>
      </c>
      <c r="C20" s="1" t="n">
        <f aca="false">AVERAGE(Tail_bounds!S28:W28)</f>
        <v>2195.17807883405</v>
      </c>
      <c r="E20" s="1" t="n">
        <f aca="false">SMALL($C$5:$C$62,A20)</f>
        <v>832.005470348025</v>
      </c>
    </row>
    <row r="21" customFormat="false" ht="15" hidden="false" customHeight="true" outlineLevel="0" collapsed="false">
      <c r="A21" s="1" t="n">
        <v>17</v>
      </c>
      <c r="B21" s="1" t="str">
        <f aca="false">Tail_bounds!B29</f>
        <v>Heart Failure</v>
      </c>
      <c r="C21" s="1" t="n">
        <f aca="false">AVERAGE(Tail_bounds!S29:W29)</f>
        <v>133.332777280942</v>
      </c>
      <c r="E21" s="1" t="n">
        <f aca="false">SMALL($C$5:$C$62,A21)</f>
        <v>832.005470348025</v>
      </c>
    </row>
    <row r="22" customFormat="false" ht="15" hidden="false" customHeight="true" outlineLevel="0" collapsed="false">
      <c r="A22" s="1" t="n">
        <v>18</v>
      </c>
      <c r="B22" s="1" t="str">
        <f aca="false">Tail_bounds!B31</f>
        <v>Heart Valve Replacement or Repair</v>
      </c>
      <c r="C22" s="1" t="n">
        <f aca="false">AVERAGE(Tail_bounds!S31:W31)</f>
        <v>75157.9489945493</v>
      </c>
      <c r="E22" s="1" t="n">
        <f aca="false">SMALL($C$5:$C$62,A22)</f>
        <v>1024.00673273603</v>
      </c>
    </row>
    <row r="23" customFormat="false" ht="15" hidden="false" customHeight="true" outlineLevel="0" collapsed="false">
      <c r="A23" s="1" t="n">
        <v>19</v>
      </c>
      <c r="B23" s="1" t="str">
        <f aca="false">Tail_bounds!B32</f>
        <v>Implantable Cardioverter Defibrillator (ICD) – for Primary Prevention</v>
      </c>
      <c r="C23" s="1" t="n">
        <f aca="false">AVERAGE(Tail_bounds!S32:W32)</f>
        <v>7469.11294355769</v>
      </c>
      <c r="E23" s="1" t="n">
        <f aca="false">SMALL($C$5:$C$62,A23)</f>
        <v>1024.00673273603</v>
      </c>
    </row>
    <row r="24" customFormat="false" ht="15" hidden="false" customHeight="true" outlineLevel="0" collapsed="false">
      <c r="A24" s="1" t="n">
        <v>20</v>
      </c>
      <c r="B24" s="1" t="str">
        <f aca="false">Tail_bounds!B34</f>
        <v>Peripheral Vascular Disease – with Surgery or Angioplasty</v>
      </c>
      <c r="C24" s="1" t="n">
        <f aca="false">AVERAGE(Tail_bounds!S34:W34)</f>
        <v>75157.9489945493</v>
      </c>
      <c r="E24" s="1" t="n">
        <f aca="false">SMALL($C$5:$C$62,A24)</f>
        <v>1024.00673273603</v>
      </c>
    </row>
    <row r="25" customFormat="false" ht="15" hidden="false" customHeight="true" outlineLevel="0" collapsed="false">
      <c r="A25" s="1" t="n">
        <v>21</v>
      </c>
      <c r="B25" s="1" t="str">
        <f aca="false">Tail_bounds!B35</f>
        <v>Permanent Pacemaker Insertion</v>
      </c>
      <c r="C25" s="1" t="n">
        <f aca="false">AVERAGE(Tail_bounds!S35:W35)</f>
        <v>5601.83470766827</v>
      </c>
      <c r="E25" s="1" t="n">
        <f aca="false">SMALL($C$5:$C$62,A25)</f>
        <v>1024.00673273603</v>
      </c>
    </row>
    <row r="26" customFormat="false" ht="15" hidden="false" customHeight="true" outlineLevel="0" collapsed="false">
      <c r="A26" s="1" t="n">
        <v>22</v>
      </c>
      <c r="B26" s="1" t="str">
        <f aca="false">Tail_bounds!B36</f>
        <v>Pulmonary Artery Graft / Replacement Surgery</v>
      </c>
      <c r="C26" s="1" t="n">
        <f aca="false">AVERAGE(Tail_bounds!S36:W36)</f>
        <v>75157.9489945493</v>
      </c>
      <c r="E26" s="1" t="n">
        <f aca="false">SMALL($C$5:$C$62,A26)</f>
        <v>1024.00673273603</v>
      </c>
    </row>
    <row r="27" customFormat="false" ht="15" hidden="false" customHeight="true" outlineLevel="0" collapsed="false">
      <c r="A27" s="1" t="n">
        <v>23</v>
      </c>
      <c r="B27" s="1" t="str">
        <f aca="false">Tail_bounds!B38</f>
        <v>Cerebral Aneurysm – with Surgical Repair</v>
      </c>
      <c r="C27" s="1" t="n">
        <f aca="false">AVERAGE(Tail_bounds!S38:W38)</f>
        <v>10092.1955747137</v>
      </c>
      <c r="E27" s="1" t="n">
        <f aca="false">SMALL($C$5:$C$62,A27)</f>
        <v>1024.00673273603</v>
      </c>
    </row>
    <row r="28" customFormat="false" ht="15" hidden="false" customHeight="true" outlineLevel="0" collapsed="false">
      <c r="A28" s="1" t="n">
        <v>24</v>
      </c>
      <c r="B28" s="1" t="str">
        <f aca="false">Tail_bounds!B39</f>
        <v>Cerebral Arteriovenous Malformation – Requiring Surgery</v>
      </c>
      <c r="C28" s="1" t="n">
        <f aca="false">AVERAGE(Tail_bounds!S39:W39)</f>
        <v>10092.1955747137</v>
      </c>
      <c r="E28" s="1" t="n">
        <f aca="false">SMALL($C$5:$C$62,A28)</f>
        <v>1024.00673273603</v>
      </c>
    </row>
    <row r="29" customFormat="false" ht="15" hidden="false" customHeight="true" outlineLevel="0" collapsed="false">
      <c r="A29" s="1" t="n">
        <v>25</v>
      </c>
      <c r="B29" s="1" t="str">
        <f aca="false">Tail_bounds!B40</f>
        <v>Cerebral or Spinal Aneurysm – with Surgical Repair</v>
      </c>
      <c r="C29" s="1" t="n">
        <f aca="false">AVERAGE(Tail_bounds!S40:W40)</f>
        <v>6986.90462864793</v>
      </c>
      <c r="E29" s="1" t="n">
        <f aca="false">SMALL($C$5:$C$62,A29)</f>
        <v>1024.00673273603</v>
      </c>
    </row>
    <row r="30" customFormat="false" ht="15" hidden="false" customHeight="true" outlineLevel="0" collapsed="false">
      <c r="A30" s="1" t="n">
        <v>26</v>
      </c>
      <c r="B30" s="1" t="str">
        <f aca="false">Tail_bounds!B41</f>
        <v>Cerebral or Spinal Arteriovenous Malformation – Requiring Surgery</v>
      </c>
      <c r="C30" s="1" t="n">
        <f aca="false">AVERAGE(Tail_bounds!S41:W41)</f>
        <v>4657.93641909862</v>
      </c>
      <c r="E30" s="1" t="n">
        <f aca="false">SMALL($C$5:$C$62,A30)</f>
        <v>1279.66707481928</v>
      </c>
    </row>
    <row r="31" customFormat="false" ht="15" hidden="false" customHeight="true" outlineLevel="0" collapsed="false">
      <c r="A31" s="1" t="n">
        <v>27</v>
      </c>
      <c r="B31" s="1" t="str">
        <f aca="false">Tail_bounds!B43</f>
        <v>Central Retinal Artery/Vein Occlusion (Eye Stroke)</v>
      </c>
      <c r="C31" s="1" t="n">
        <f aca="false">AVERAGE(Tail_bounds!S43:W43)</f>
        <v>4622.86484591495</v>
      </c>
      <c r="E31" s="1" t="n">
        <f aca="false">SMALL($C$5:$C$62,A31)</f>
        <v>1575.85515473008</v>
      </c>
    </row>
    <row r="32" customFormat="false" ht="15" hidden="false" customHeight="true" outlineLevel="0" collapsed="false">
      <c r="A32" s="1" t="n">
        <v>28</v>
      </c>
      <c r="B32" s="1" t="str">
        <f aca="false">Tail_bounds!B58</f>
        <v>Crohn's Disease – Severe / with Surgical Resection</v>
      </c>
      <c r="C32" s="1" t="n">
        <f aca="false">AVERAGE(Tail_bounds!S58:W58)</f>
        <v>39812.9024501554</v>
      </c>
      <c r="E32" s="1" t="n">
        <f aca="false">SMALL($C$5:$C$62,A32)</f>
        <v>2195.17807883405</v>
      </c>
    </row>
    <row r="33" customFormat="false" ht="15" hidden="false" customHeight="true" outlineLevel="0" collapsed="false">
      <c r="A33" s="1" t="n">
        <v>29</v>
      </c>
      <c r="B33" s="1" t="str">
        <f aca="false">Tail_bounds!B60</f>
        <v>Ulcerative Colitis – Treated with Total Colectomy</v>
      </c>
      <c r="C33" s="1" t="n">
        <f aca="false">AVERAGE(Tail_bounds!S60:W60)</f>
        <v>3956.56173417694</v>
      </c>
      <c r="E33" s="1" t="n">
        <f aca="false">SMALL($C$5:$C$62,A33)</f>
        <v>2256.71842385976</v>
      </c>
    </row>
    <row r="34" customFormat="false" ht="15" hidden="false" customHeight="true" outlineLevel="0" collapsed="false">
      <c r="A34" s="1" t="n">
        <v>30</v>
      </c>
      <c r="B34" s="1" t="str">
        <f aca="false">Tail_bounds!B61</f>
        <v>Aplastic Anaemia – of Specified Severity</v>
      </c>
      <c r="C34" s="1" t="n">
        <f aca="false">AVERAGE(Tail_bounds!S61:W61)</f>
        <v>46397.3767615704</v>
      </c>
      <c r="E34" s="1" t="n">
        <f aca="false">SMALL($C$5:$C$62,A34)</f>
        <v>2781.93313469102</v>
      </c>
    </row>
    <row r="35" customFormat="false" ht="15" hidden="false" customHeight="true" outlineLevel="0" collapsed="false">
      <c r="A35" s="1" t="n">
        <v>31</v>
      </c>
      <c r="B35" s="1" t="str">
        <f aca="false">Tail_bounds!B64</f>
        <v>Liver Resection</v>
      </c>
      <c r="C35" s="1" t="n">
        <f aca="false">AVERAGE(Tail_bounds!S64:W64)</f>
        <v>23167.5177198709</v>
      </c>
      <c r="E35" s="1" t="n">
        <f aca="false">SMALL($C$5:$C$62,A35)</f>
        <v>2781.93313469102</v>
      </c>
    </row>
    <row r="36" customFormat="false" ht="15" hidden="false" customHeight="true" outlineLevel="0" collapsed="false">
      <c r="A36" s="1" t="n">
        <v>32</v>
      </c>
      <c r="B36" s="1" t="str">
        <f aca="false">Tail_bounds!B82</f>
        <v>Syringomyelia or Syringobulbia</v>
      </c>
      <c r="C36" s="1" t="n">
        <f aca="false">AVERAGE(Tail_bounds!S82:W82)</f>
        <v>23588.8469801545</v>
      </c>
      <c r="E36" s="1" t="n">
        <f aca="false">SMALL($C$5:$C$62,A36)</f>
        <v>3258.82843939842</v>
      </c>
    </row>
    <row r="37" customFormat="false" ht="15" hidden="false" customHeight="true" outlineLevel="0" collapsed="false">
      <c r="A37" s="1" t="n">
        <v>33</v>
      </c>
      <c r="B37" s="1" t="str">
        <f aca="false">Tail_bounds!B87</f>
        <v>Brain Abscess – Drained via Craniotomy</v>
      </c>
      <c r="C37" s="1" t="n">
        <f aca="false">AVERAGE(Tail_bounds!S87:W87)</f>
        <v>23588.8469801545</v>
      </c>
      <c r="E37" s="1" t="n">
        <f aca="false">SMALL($C$5:$C$62,A37)</f>
        <v>3392.12582151684</v>
      </c>
    </row>
    <row r="38" customFormat="false" ht="15" hidden="false" customHeight="true" outlineLevel="0" collapsed="false">
      <c r="A38" s="1" t="n">
        <v>34</v>
      </c>
      <c r="B38" s="1" t="str">
        <f aca="false">Tail_bounds!B91</f>
        <v>Pituitary Gland Tumour</v>
      </c>
      <c r="C38" s="1" t="n">
        <f aca="false">AVERAGE(Tail_bounds!S91:W91)</f>
        <v>5341.12886699745</v>
      </c>
      <c r="E38" s="1" t="n">
        <f aca="false">SMALL($C$5:$C$62,A38)</f>
        <v>3956.56173417694</v>
      </c>
    </row>
    <row r="39" customFormat="false" ht="15" hidden="false" customHeight="true" outlineLevel="0" collapsed="false">
      <c r="A39" s="1" t="n">
        <v>35</v>
      </c>
      <c r="B39" s="1" t="str">
        <f aca="false">Tail_bounds!B92</f>
        <v>Traumatic Brain / Head Injury – Resulting in Permanent Symptoms</v>
      </c>
      <c r="C39" s="1" t="n">
        <f aca="false">AVERAGE(Tail_bounds!S92:W92)</f>
        <v>3392.12582151684</v>
      </c>
      <c r="E39" s="1" t="n">
        <f aca="false">SMALL($C$5:$C$62,A39)</f>
        <v>4622.86484591495</v>
      </c>
    </row>
    <row r="40" customFormat="false" ht="15" hidden="false" customHeight="true" outlineLevel="0" collapsed="false">
      <c r="A40" s="1" t="n">
        <v>36</v>
      </c>
      <c r="B40" s="1" t="str">
        <f aca="false">Tail_bounds!B93</f>
        <v>Carcinoma in Situ – Anus</v>
      </c>
      <c r="C40" s="1" t="n">
        <f aca="false">AVERAGE(Tail_bounds!S93:W93)</f>
        <v>832.005470348025</v>
      </c>
      <c r="E40" s="1" t="n">
        <f aca="false">SMALL($C$5:$C$62,A40)</f>
        <v>4657.93641909862</v>
      </c>
    </row>
    <row r="41" customFormat="false" ht="15" hidden="false" customHeight="true" outlineLevel="0" collapsed="false">
      <c r="A41" s="1" t="n">
        <v>37</v>
      </c>
      <c r="B41" s="1" t="str">
        <f aca="false">Tail_bounds!B94</f>
        <v>Carcinoma in Situ – Bile Ducts</v>
      </c>
      <c r="C41" s="1" t="n">
        <f aca="false">AVERAGE(Tail_bounds!S94:W94)</f>
        <v>640.004207960019</v>
      </c>
      <c r="E41" s="1" t="n">
        <f aca="false">SMALL($C$5:$C$62,A41)</f>
        <v>4912.75786899452</v>
      </c>
    </row>
    <row r="42" customFormat="false" ht="15" hidden="false" customHeight="true" outlineLevel="0" collapsed="false">
      <c r="A42" s="1" t="n">
        <v>38</v>
      </c>
      <c r="B42" s="1" t="str">
        <f aca="false">Tail_bounds!B95</f>
        <v>Carcinoma in Situ – Cervix</v>
      </c>
      <c r="C42" s="1" t="n">
        <f aca="false">AVERAGE(Tail_bounds!S95:W95)</f>
        <v>1024.00673273603</v>
      </c>
      <c r="E42" s="1" t="n">
        <f aca="false">SMALL($C$5:$C$62,A42)</f>
        <v>5341.12886699745</v>
      </c>
    </row>
    <row r="43" customFormat="false" ht="15" hidden="false" customHeight="true" outlineLevel="0" collapsed="false">
      <c r="A43" s="1" t="n">
        <v>39</v>
      </c>
      <c r="B43" s="1" t="str">
        <f aca="false">Tail_bounds!B96</f>
        <v>Carcinoma in Situ – Colon or Rectum</v>
      </c>
      <c r="C43" s="1" t="n">
        <f aca="false">AVERAGE(Tail_bounds!S96:W96)</f>
        <v>1024.00673273603</v>
      </c>
      <c r="E43" s="1" t="n">
        <f aca="false">SMALL($C$5:$C$62,A43)</f>
        <v>5601.83470766827</v>
      </c>
    </row>
    <row r="44" customFormat="false" ht="15" hidden="false" customHeight="true" outlineLevel="0" collapsed="false">
      <c r="A44" s="1" t="n">
        <v>40</v>
      </c>
      <c r="B44" s="1" t="str">
        <f aca="false">Tail_bounds!B97</f>
        <v>Carcinoma in Situ – Gallbladder</v>
      </c>
      <c r="C44" s="1" t="n">
        <f aca="false">AVERAGE(Tail_bounds!S97:W97)</f>
        <v>640.004207960019</v>
      </c>
      <c r="E44" s="1" t="n">
        <f aca="false">SMALL($C$5:$C$62,A44)</f>
        <v>6986.90462864793</v>
      </c>
    </row>
    <row r="45" customFormat="false" ht="15" hidden="false" customHeight="true" outlineLevel="0" collapsed="false">
      <c r="A45" s="1" t="n">
        <v>41</v>
      </c>
      <c r="B45" s="1" t="str">
        <f aca="false">Tail_bounds!B98</f>
        <v>Carcinoma in Situ – Larynx</v>
      </c>
      <c r="C45" s="1" t="n">
        <f aca="false">AVERAGE(Tail_bounds!S98:W98)</f>
        <v>832.005470348025</v>
      </c>
      <c r="E45" s="1" t="n">
        <f aca="false">SMALL($C$5:$C$62,A45)</f>
        <v>7469.11294355769</v>
      </c>
    </row>
    <row r="46" customFormat="false" ht="15" hidden="false" customHeight="true" outlineLevel="0" collapsed="false">
      <c r="A46" s="1" t="n">
        <v>42</v>
      </c>
      <c r="B46" s="1" t="str">
        <f aca="false">Tail_bounds!B99</f>
        <v>Carcinoma in Situ – Lung/Bronchus</v>
      </c>
      <c r="C46" s="1" t="n">
        <f aca="false">AVERAGE(Tail_bounds!S99:W99)</f>
        <v>832.005470348025</v>
      </c>
      <c r="E46" s="1" t="n">
        <f aca="false">SMALL($C$5:$C$62,A46)</f>
        <v>7469.11294355769</v>
      </c>
    </row>
    <row r="47" customFormat="false" ht="15" hidden="false" customHeight="true" outlineLevel="0" collapsed="false">
      <c r="A47" s="1" t="n">
        <v>43</v>
      </c>
      <c r="B47" s="1" t="str">
        <f aca="false">Tail_bounds!B100</f>
        <v>Carcinoma in Situ – Oesophagus</v>
      </c>
      <c r="C47" s="1" t="n">
        <f aca="false">AVERAGE(Tail_bounds!S100:W100)</f>
        <v>1024.00673273603</v>
      </c>
      <c r="E47" s="1" t="n">
        <f aca="false">SMALL($C$5:$C$62,A47)</f>
        <v>7469.11294355769</v>
      </c>
    </row>
    <row r="48" customFormat="false" ht="15" hidden="false" customHeight="true" outlineLevel="0" collapsed="false">
      <c r="A48" s="1" t="n">
        <v>44</v>
      </c>
      <c r="B48" s="1" t="str">
        <f aca="false">Tail_bounds!B101</f>
        <v>Carcinoma in Situ – Oral Cavity/Oropharynx</v>
      </c>
      <c r="C48" s="1" t="n">
        <f aca="false">AVERAGE(Tail_bounds!S101:W101)</f>
        <v>1024.00673273603</v>
      </c>
      <c r="E48" s="1" t="n">
        <f aca="false">SMALL($C$5:$C$62,A48)</f>
        <v>8369.6307449459</v>
      </c>
    </row>
    <row r="49" customFormat="false" ht="15" hidden="false" customHeight="true" outlineLevel="0" collapsed="false">
      <c r="A49" s="1" t="n">
        <v>45</v>
      </c>
      <c r="B49" s="1" t="str">
        <f aca="false">Tail_bounds!B102</f>
        <v>Carcinoma in Situ – Other Sites</v>
      </c>
      <c r="C49" s="1" t="n">
        <f aca="false">AVERAGE(Tail_bounds!S102:W102)</f>
        <v>768.005049552023</v>
      </c>
      <c r="E49" s="1" t="n">
        <f aca="false">SMALL($C$5:$C$62,A49)</f>
        <v>10092.1955747137</v>
      </c>
    </row>
    <row r="50" customFormat="false" ht="15" hidden="false" customHeight="true" outlineLevel="0" collapsed="false">
      <c r="A50" s="1" t="n">
        <v>46</v>
      </c>
      <c r="B50" s="1" t="str">
        <f aca="false">Tail_bounds!B103</f>
        <v>Carcinoma in Situ – Pancreas</v>
      </c>
      <c r="C50" s="1" t="n">
        <f aca="false">AVERAGE(Tail_bounds!S103:W103)</f>
        <v>640.004207960019</v>
      </c>
      <c r="E50" s="1" t="n">
        <f aca="false">SMALL($C$5:$C$62,A50)</f>
        <v>10092.1955747137</v>
      </c>
    </row>
    <row r="51" customFormat="false" ht="15" hidden="false" customHeight="true" outlineLevel="0" collapsed="false">
      <c r="A51" s="1" t="n">
        <v>47</v>
      </c>
      <c r="B51" s="1" t="str">
        <f aca="false">Tail_bounds!B104</f>
        <v>Carcinoma in Situ – Renal Pelvis/Ureter</v>
      </c>
      <c r="C51" s="1" t="n">
        <f aca="false">AVERAGE(Tail_bounds!S104:W104)</f>
        <v>832.005470348025</v>
      </c>
      <c r="E51" s="1" t="n">
        <f aca="false">SMALL($C$5:$C$62,A51)</f>
        <v>19521.6905992001</v>
      </c>
    </row>
    <row r="52" customFormat="false" ht="15" hidden="false" customHeight="true" outlineLevel="0" collapsed="false">
      <c r="A52" s="1" t="n">
        <v>48</v>
      </c>
      <c r="B52" s="1" t="str">
        <f aca="false">Tail_bounds!B105</f>
        <v>Carcinoma in Situ – Stomach</v>
      </c>
      <c r="C52" s="1" t="n">
        <f aca="false">AVERAGE(Tail_bounds!S105:W105)</f>
        <v>640.004207960019</v>
      </c>
      <c r="E52" s="1" t="n">
        <f aca="false">SMALL($C$5:$C$62,A52)</f>
        <v>23167.5177198709</v>
      </c>
    </row>
    <row r="53" customFormat="false" ht="15" hidden="false" customHeight="true" outlineLevel="0" collapsed="false">
      <c r="A53" s="1" t="n">
        <v>49</v>
      </c>
      <c r="B53" s="1" t="str">
        <f aca="false">Tail_bounds!B106</f>
        <v>Carcinoma in Situ – Testicle</v>
      </c>
      <c r="C53" s="1" t="n">
        <f aca="false">AVERAGE(Tail_bounds!S106:W106)</f>
        <v>1024.00673273603</v>
      </c>
      <c r="E53" s="1" t="n">
        <f aca="false">SMALL($C$5:$C$62,A53)</f>
        <v>23588.8469801545</v>
      </c>
    </row>
    <row r="54" customFormat="false" ht="15" hidden="false" customHeight="true" outlineLevel="0" collapsed="false">
      <c r="A54" s="1" t="n">
        <v>50</v>
      </c>
      <c r="B54" s="1" t="str">
        <f aca="false">Tail_bounds!B107</f>
        <v>Carcinoma in Situ – Thymus</v>
      </c>
      <c r="C54" s="1" t="n">
        <f aca="false">AVERAGE(Tail_bounds!S107:W107)</f>
        <v>640.004207960019</v>
      </c>
      <c r="E54" s="1" t="n">
        <f aca="false">SMALL($C$5:$C$62,A54)</f>
        <v>23588.8469801545</v>
      </c>
    </row>
    <row r="55" customFormat="false" ht="15" hidden="false" customHeight="true" outlineLevel="0" collapsed="false">
      <c r="A55" s="1" t="n">
        <v>51</v>
      </c>
      <c r="B55" s="1" t="str">
        <f aca="false">Tail_bounds!B108</f>
        <v>Carcinoma in Situ – Urinary Bladder</v>
      </c>
      <c r="C55" s="1" t="n">
        <f aca="false">AVERAGE(Tail_bounds!S108:W108)</f>
        <v>1024.00673273603</v>
      </c>
      <c r="E55" s="1" t="n">
        <f aca="false">SMALL($C$5:$C$62,A55)</f>
        <v>39812.9024501554</v>
      </c>
    </row>
    <row r="56" customFormat="false" ht="15" hidden="false" customHeight="true" outlineLevel="0" collapsed="false">
      <c r="A56" s="1" t="n">
        <v>52</v>
      </c>
      <c r="B56" s="1" t="str">
        <f aca="false">Tail_bounds!B109</f>
        <v>Carcinoma in Situ – Uterus</v>
      </c>
      <c r="C56" s="1" t="n">
        <f aca="false">AVERAGE(Tail_bounds!S109:W109)</f>
        <v>832.005470348025</v>
      </c>
      <c r="E56" s="1" t="n">
        <f aca="false">SMALL($C$5:$C$62,A56)</f>
        <v>46397.3767615704</v>
      </c>
    </row>
    <row r="57" customFormat="false" ht="15" hidden="false" customHeight="true" outlineLevel="0" collapsed="false">
      <c r="A57" s="1" t="n">
        <v>53</v>
      </c>
      <c r="B57" s="1" t="str">
        <f aca="false">Tail_bounds!B110</f>
        <v>Carcinoma in Situ – Vagina</v>
      </c>
      <c r="C57" s="1" t="n">
        <f aca="false">AVERAGE(Tail_bounds!S110:W110)</f>
        <v>1024.00673273603</v>
      </c>
      <c r="E57" s="1" t="n">
        <f aca="false">SMALL($C$5:$C$62,A57)</f>
        <v>60126.3591956394</v>
      </c>
    </row>
    <row r="58" customFormat="false" ht="15" hidden="false" customHeight="true" outlineLevel="0" collapsed="false">
      <c r="A58" s="1" t="n">
        <v>54</v>
      </c>
      <c r="B58" s="1" t="str">
        <f aca="false">Tail_bounds!B111</f>
        <v>Carcinoma in Situ – Vulva</v>
      </c>
      <c r="C58" s="1" t="n">
        <f aca="false">AVERAGE(Tail_bounds!S111:W111)</f>
        <v>1024.00673273603</v>
      </c>
      <c r="E58" s="1" t="n">
        <f aca="false">SMALL($C$5:$C$62,A58)</f>
        <v>75157.9489945493</v>
      </c>
    </row>
    <row r="59" customFormat="false" ht="15" hidden="false" customHeight="true" outlineLevel="0" collapsed="false">
      <c r="A59" s="1" t="n">
        <v>55</v>
      </c>
      <c r="B59" s="1" t="str">
        <f aca="false">Tail_bounds!B127</f>
        <v>Cystic Fibrosis</v>
      </c>
      <c r="C59" s="1" t="n">
        <f aca="false">AVERAGE(Tail_bounds!S127:W127)</f>
        <v>0</v>
      </c>
      <c r="E59" s="1" t="n">
        <f aca="false">SMALL($C$5:$C$62,A59)</f>
        <v>75157.9489945493</v>
      </c>
    </row>
    <row r="60" customFormat="false" ht="15" hidden="false" customHeight="true" outlineLevel="0" collapsed="false">
      <c r="A60" s="1" t="n">
        <v>56</v>
      </c>
      <c r="B60" s="1" t="str">
        <f aca="false">Tail_bounds!B128</f>
        <v>Single Lobectomy – for Disease or Trauma (Partial)</v>
      </c>
      <c r="C60" s="1" t="n">
        <f aca="false">AVERAGE(Tail_bounds!S128:W128)</f>
        <v>3258.82843939842</v>
      </c>
      <c r="E60" s="1" t="n">
        <f aca="false">SMALL($C$5:$C$62,A60)</f>
        <v>75157.9489945493</v>
      </c>
    </row>
    <row r="61" customFormat="false" ht="15" hidden="false" customHeight="true" outlineLevel="0" collapsed="false">
      <c r="A61" s="1" t="n">
        <v>57</v>
      </c>
      <c r="B61" s="1" t="str">
        <f aca="false">Tail_bounds!B133</f>
        <v>Surgical Removal of One Eye</v>
      </c>
      <c r="C61" s="1" t="n">
        <f aca="false">AVERAGE(Tail_bounds!S133:W133)</f>
        <v>4912.75786899452</v>
      </c>
      <c r="E61" s="1" t="n">
        <f aca="false">SMALL($C$5:$C$62,A61)</f>
        <v>75157.9489945493</v>
      </c>
    </row>
    <row r="62" customFormat="false" ht="15" hidden="false" customHeight="true" outlineLevel="0" collapsed="false">
      <c r="A62" s="1" t="n">
        <v>58</v>
      </c>
      <c r="B62" s="1" t="str">
        <f aca="false">Tail_bounds!B138</f>
        <v>Cystectomy – Complete Removal of the Urinary Bladder</v>
      </c>
      <c r="C62" s="1" t="n">
        <f aca="false">AVERAGE(Tail_bounds!S138:W138)</f>
        <v>19521.6905992001</v>
      </c>
      <c r="E62" s="1" t="n">
        <f aca="false">SMALL($C$5:$C$62,A62)</f>
        <v>75157.9489945493</v>
      </c>
    </row>
    <row r="64" customFormat="false" ht="15" hidden="false" customHeight="true" outlineLevel="0" collapsed="false">
      <c r="B64" s="1" t="s">
        <v>1270</v>
      </c>
      <c r="C64" s="1" t="n">
        <f aca="false">2*SUMPRODUCT($A$5:$A$62,$E$5:$E$62)/(58*SUM($E$5:$E$62))-(58+1)/58</f>
        <v>0.739630107841332</v>
      </c>
    </row>
    <row r="65" customFormat="false" ht="15" hidden="false" customHeight="true" outlineLevel="0" collapsed="false">
      <c r="B65" s="1" t="s">
        <v>1271</v>
      </c>
      <c r="C65" s="1" t="n">
        <f aca="false">2*SUMPRODUCT($A$5:$A$10,$G$5:$G$10)/(6*SUM($G$5:$G$10))-7/6</f>
        <v>0.662653660035525</v>
      </c>
    </row>
    <row r="66" customFormat="false" ht="15" hidden="false" customHeight="true" outlineLevel="0" collapsed="false">
      <c r="B66" s="1" t="s">
        <v>1272</v>
      </c>
      <c r="C66" s="1" t="n">
        <f aca="false">2*SUMPRODUCT($A$5:$A$10,$I$5:$I$10)/(6*SUM($I$5:$I$10))-7/6</f>
        <v>0.663187737979782</v>
      </c>
    </row>
    <row r="69" customFormat="false" ht="15" hidden="false" customHeight="true" outlineLevel="0" collapsed="false">
      <c r="B69" s="1" t="s">
        <v>1273</v>
      </c>
    </row>
    <row r="70" customFormat="false" ht="15" hidden="false" customHeight="true" outlineLevel="0" collapsed="false">
      <c r="A70" s="1" t="n">
        <f aca="false">Tail_bounds!A10</f>
        <v>1</v>
      </c>
      <c r="B70" s="1" t="str">
        <f aca="false">Tail_bounds!B10</f>
        <v>Hospital Cash Cover (Adult)</v>
      </c>
    </row>
    <row r="71" customFormat="false" ht="15" hidden="false" customHeight="true" outlineLevel="0" collapsed="false">
      <c r="A71" s="1" t="n">
        <f aca="false">Tail_bounds!A11</f>
        <v>2</v>
      </c>
      <c r="B71" s="1" t="str">
        <f aca="false">Tail_bounds!B11</f>
        <v>Overseas Surgery Benefit</v>
      </c>
    </row>
    <row r="72" customFormat="false" ht="15" hidden="false" customHeight="true" outlineLevel="0" collapsed="false">
      <c r="A72" s="1" t="n">
        <f aca="false">Tail_bounds!A12</f>
        <v>3</v>
      </c>
      <c r="B72" s="1" t="str">
        <f aca="false">Tail_bounds!B12</f>
        <v>Accidental Death Benefit (Interim)</v>
      </c>
    </row>
    <row r="73" customFormat="false" ht="15" hidden="false" customHeight="true" outlineLevel="0" collapsed="false">
      <c r="A73" s="1" t="n">
        <f aca="false">Tail_bounds!A13</f>
        <v>4</v>
      </c>
      <c r="B73" s="1" t="str">
        <f aca="false">Tail_bounds!B13</f>
        <v>Terminal Illness Early Payment (Life Cover)</v>
      </c>
    </row>
    <row r="74" customFormat="false" ht="15" hidden="false" customHeight="true" outlineLevel="0" collapsed="false">
      <c r="A74" s="1" t="n">
        <f aca="false">Tail_bounds!A14</f>
        <v>5</v>
      </c>
      <c r="B74" s="1" t="str">
        <f aca="false">Tail_bounds!B14</f>
        <v>Waiting List / Pre-Surgery Pre-Payment Benefit</v>
      </c>
    </row>
    <row r="75" customFormat="false" ht="15" hidden="false" customHeight="true" outlineLevel="0" collapsed="false">
      <c r="A75" s="1" t="n">
        <f aca="false">Tail_bounds!A15</f>
        <v>6</v>
      </c>
      <c r="B75" s="1" t="str">
        <f aca="false">Tail_bounds!B15</f>
        <v>Accident Cash Cover – Qualifying Injuries</v>
      </c>
    </row>
    <row r="76" customFormat="false" ht="15" hidden="false" customHeight="true" outlineLevel="0" collapsed="false">
      <c r="A76" s="1" t="n">
        <f aca="false">Tail_bounds!A16</f>
        <v>7</v>
      </c>
      <c r="B76" s="1" t="str">
        <f aca="false">Tail_bounds!B16</f>
        <v>Serious Accident Cover (28+ days hospital)</v>
      </c>
    </row>
    <row r="77" customFormat="false" ht="15" hidden="false" customHeight="true" outlineLevel="0" collapsed="false">
      <c r="A77" s="1" t="n">
        <f aca="false">Tail_bounds!A37</f>
        <v>29</v>
      </c>
      <c r="B77" s="1" t="str">
        <f aca="false">Tail_bounds!B37</f>
        <v>Advance Payment for Heart Surgery</v>
      </c>
    </row>
    <row r="78" customFormat="false" ht="15" hidden="false" customHeight="true" outlineLevel="0" collapsed="false">
      <c r="A78" s="1" t="n">
        <f aca="false">Tail_bounds!A44</f>
        <v>37</v>
      </c>
      <c r="B78" s="1" t="str">
        <f aca="false">Tail_bounds!B44</f>
        <v>Child Overseas Surgery Benefit</v>
      </c>
    </row>
    <row r="79" customFormat="false" ht="15" hidden="false" customHeight="true" outlineLevel="0" collapsed="false">
      <c r="A79" s="1" t="n">
        <f aca="false">Tail_bounds!A45</f>
        <v>38</v>
      </c>
      <c r="B79" s="1" t="str">
        <f aca="false">Tail_bounds!B45</f>
        <v>Children's Hospital Cash Cover</v>
      </c>
    </row>
    <row r="80" customFormat="false" ht="15" hidden="false" customHeight="true" outlineLevel="0" collapsed="false">
      <c r="A80" s="1" t="n">
        <f aca="false">Tail_bounds!A46</f>
        <v>39</v>
      </c>
      <c r="B80" s="1" t="str">
        <f aca="false">Tail_bounds!B46</f>
        <v>Children's Life Cover</v>
      </c>
    </row>
    <row r="81" customFormat="false" ht="15" hidden="false" customHeight="true" outlineLevel="0" collapsed="false">
      <c r="A81" s="1" t="n">
        <f aca="false">Tail_bounds!A47</f>
        <v>40</v>
      </c>
      <c r="B81" s="1" t="str">
        <f aca="false">Tail_bounds!B47</f>
        <v>Children's Partial Payment Serious Illness Benefit</v>
      </c>
    </row>
    <row r="82" customFormat="false" ht="15" hidden="false" customHeight="true" outlineLevel="0" collapsed="false">
      <c r="A82" s="1" t="n">
        <f aca="false">Tail_bounds!A48</f>
        <v>41</v>
      </c>
      <c r="B82" s="1" t="str">
        <f aca="false">Tail_bounds!B48</f>
        <v>Children's Specified Illness Cover</v>
      </c>
    </row>
    <row r="83" customFormat="false" ht="15" hidden="false" customHeight="true" outlineLevel="0" collapsed="false">
      <c r="A83" s="1" t="n">
        <f aca="false">Tail_bounds!A114</f>
        <v>110</v>
      </c>
      <c r="B83" s="1" t="str">
        <f aca="false">Tail_bounds!B114</f>
        <v>Hydatidiform Mole</v>
      </c>
    </row>
    <row r="84" customFormat="false" ht="15" hidden="false" customHeight="true" outlineLevel="0" collapsed="false">
      <c r="A84" s="1" t="n">
        <f aca="false">Tail_bounds!A118</f>
        <v>114</v>
      </c>
      <c r="B84" s="1" t="str">
        <f aca="false">Tail_bounds!B118</f>
        <v>30-day Related Claim Restriction (Operational)</v>
      </c>
    </row>
    <row r="85" customFormat="false" ht="15" hidden="false" customHeight="true" outlineLevel="0" collapsed="false">
      <c r="A85" s="1" t="n">
        <f aca="false">Tail_bounds!A119</f>
        <v>115</v>
      </c>
      <c r="B85" s="1" t="str">
        <f aca="false">Tail_bounds!B119</f>
        <v>Eclampsia (Pregnancy)</v>
      </c>
    </row>
    <row r="86" customFormat="false" ht="15" hidden="false" customHeight="true" outlineLevel="0" collapsed="false">
      <c r="A86" s="1" t="n">
        <f aca="false">Tail_bounds!A120</f>
        <v>116</v>
      </c>
      <c r="B86" s="1" t="str">
        <f aca="false">Tail_bounds!B120</f>
        <v>Ectopic Pregnancy</v>
      </c>
    </row>
    <row r="87" customFormat="false" ht="15" hidden="false" customHeight="true" outlineLevel="0" collapsed="false">
      <c r="A87" s="1" t="n">
        <f aca="false">Tail_bounds!A121</f>
        <v>117</v>
      </c>
      <c r="B87" s="1" t="str">
        <f aca="false">Tail_bounds!B121</f>
        <v>Foetal Death in Utero (&gt;=20 weeks)</v>
      </c>
    </row>
    <row r="88" customFormat="false" ht="15" hidden="false" customHeight="true" outlineLevel="0" collapsed="false">
      <c r="A88" s="1" t="n">
        <f aca="false">Tail_bounds!A122</f>
        <v>118</v>
      </c>
      <c r="B88" s="1" t="str">
        <f aca="false">Tail_bounds!B122</f>
        <v>Placental Abruption</v>
      </c>
    </row>
    <row r="89" customFormat="false" ht="15" hidden="false" customHeight="true" outlineLevel="0" collapsed="false">
      <c r="A89" s="1" t="n">
        <f aca="false">Tail_bounds!A135</f>
        <v>132</v>
      </c>
      <c r="B89" s="1" t="str">
        <f aca="false">Tail_bounds!B135</f>
        <v>Donor Recipient Cover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1274</v>
      </c>
    </row>
    <row r="2" customFormat="false" ht="15" hidden="false" customHeight="true" outlineLevel="0" collapsed="false">
      <c r="A2" s="1" t="s">
        <v>1275</v>
      </c>
    </row>
    <row r="4" customFormat="false" ht="15" hidden="false" customHeight="true" outlineLevel="0" collapsed="false">
      <c r="A4" s="1" t="s">
        <v>1276</v>
      </c>
      <c r="B4" s="1" t="s">
        <v>1277</v>
      </c>
      <c r="C4" s="1" t="s">
        <v>264</v>
      </c>
      <c r="D4" s="1" t="s">
        <v>265</v>
      </c>
      <c r="E4" s="1" t="s">
        <v>266</v>
      </c>
      <c r="F4" s="1" t="s">
        <v>267</v>
      </c>
      <c r="G4" s="1" t="s">
        <v>268</v>
      </c>
      <c r="H4" s="1" t="s">
        <v>1278</v>
      </c>
    </row>
    <row r="5" customFormat="false" ht="15" hidden="false" customHeight="true" outlineLevel="0" collapsed="false">
      <c r="A5" s="1" t="s">
        <v>1279</v>
      </c>
      <c r="B5" s="1" t="s">
        <v>1280</v>
      </c>
      <c r="C5" s="89" t="n">
        <f aca="false">Portfolio!F75</f>
        <v>0.849430065786207</v>
      </c>
      <c r="D5" s="89" t="n">
        <f aca="false">Portfolio!F76</f>
        <v>0.592377271141922</v>
      </c>
      <c r="E5" s="89" t="n">
        <f aca="false">Portfolio!F77</f>
        <v>0.334980687927349</v>
      </c>
      <c r="F5" s="89" t="n">
        <f aca="false">Portfolio!F78</f>
        <v>0.811585012083057</v>
      </c>
      <c r="G5" s="89" t="n">
        <f aca="false">Portfolio!F79</f>
        <v>0.775781946494312</v>
      </c>
      <c r="H5" s="1" t="s">
        <v>1281</v>
      </c>
    </row>
    <row r="6" customFormat="false" ht="15" hidden="false" customHeight="true" outlineLevel="0" collapsed="false">
      <c r="A6" s="1" t="s">
        <v>1282</v>
      </c>
      <c r="B6" s="1" t="s">
        <v>1283</v>
      </c>
      <c r="C6" s="1" t="n">
        <f aca="false">Tail_bounds!E7</f>
        <v>16051.4351446291</v>
      </c>
      <c r="D6" s="1" t="n">
        <f aca="false">Tail_bounds!F7</f>
        <v>10955.9708156271</v>
      </c>
      <c r="E6" s="1" t="n">
        <f aca="false">Tail_bounds!G7</f>
        <v>6047.20282987368</v>
      </c>
      <c r="F6" s="1" t="n">
        <f aca="false">Tail_bounds!H7</f>
        <v>14219.7617631399</v>
      </c>
      <c r="G6" s="1" t="n">
        <f aca="false">Tail_bounds!I7</f>
        <v>15079.1202870229</v>
      </c>
      <c r="H6" s="1" t="s">
        <v>1284</v>
      </c>
    </row>
    <row r="7" customFormat="false" ht="15" hidden="false" customHeight="true" outlineLevel="0" collapsed="false">
      <c r="A7" s="1" t="s">
        <v>1285</v>
      </c>
      <c r="B7" s="1" t="s">
        <v>1286</v>
      </c>
      <c r="C7" s="1" t="str">
        <f aca="false">Regression_05!B164</f>
        <v>ALL -05 v1.6.0 RESULTS INTACT</v>
      </c>
      <c r="H7" s="1" t="s">
        <v>1287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1288</v>
      </c>
    </row>
    <row r="2" customFormat="false" ht="15" hidden="false" customHeight="true" outlineLevel="0" collapsed="false">
      <c r="A2" s="1" t="s">
        <v>1289</v>
      </c>
    </row>
    <row r="4" customFormat="false" ht="15" hidden="false" customHeight="true" outlineLevel="0" collapsed="false">
      <c r="A4" s="1" t="s">
        <v>1239</v>
      </c>
      <c r="B4" s="1" t="s">
        <v>1240</v>
      </c>
      <c r="C4" s="1" t="s">
        <v>264</v>
      </c>
      <c r="D4" s="1" t="s">
        <v>265</v>
      </c>
      <c r="E4" s="1" t="s">
        <v>266</v>
      </c>
      <c r="F4" s="1" t="s">
        <v>267</v>
      </c>
      <c r="G4" s="1" t="s">
        <v>268</v>
      </c>
    </row>
    <row r="5" customFormat="false" ht="15" hidden="false" customHeight="true" outlineLevel="0" collapsed="false">
      <c r="A5" s="1" t="s">
        <v>1241</v>
      </c>
      <c r="B5" s="1" t="s">
        <v>1290</v>
      </c>
      <c r="C5" s="1" t="n">
        <v>16051.4351446291</v>
      </c>
      <c r="D5" s="1" t="n">
        <v>10955.9708156271</v>
      </c>
      <c r="E5" s="1" t="n">
        <v>6047.20282987368</v>
      </c>
      <c r="F5" s="1" t="n">
        <v>14219.7617631399</v>
      </c>
      <c r="G5" s="1" t="n">
        <v>15079.1202870229</v>
      </c>
    </row>
    <row r="6" customFormat="false" ht="15" hidden="false" customHeight="true" outlineLevel="0" collapsed="false">
      <c r="A6" s="1" t="s">
        <v>1243</v>
      </c>
      <c r="B6" s="1" t="s">
        <v>1291</v>
      </c>
      <c r="C6" s="1" t="n">
        <v>19429.2127475764</v>
      </c>
      <c r="D6" s="1" t="n">
        <v>13207.0970619375</v>
      </c>
      <c r="E6" s="1" t="n">
        <v>7282.46509764563</v>
      </c>
      <c r="F6" s="1" t="n">
        <v>17200.3305029366</v>
      </c>
      <c r="G6" s="1" t="n">
        <v>18187.1620329252</v>
      </c>
    </row>
    <row r="7" customFormat="false" ht="15" hidden="false" customHeight="true" outlineLevel="0" collapsed="false">
      <c r="A7" s="1" t="s">
        <v>1243</v>
      </c>
      <c r="B7" s="1" t="s">
        <v>1292</v>
      </c>
      <c r="C7" s="1" t="n">
        <v>13362.3989617189</v>
      </c>
      <c r="D7" s="1" t="n">
        <v>9152.46420993464</v>
      </c>
      <c r="E7" s="1" t="n">
        <v>5056.59039375355</v>
      </c>
      <c r="F7" s="1" t="n">
        <v>11843.6209094839</v>
      </c>
      <c r="G7" s="1" t="n">
        <v>12591.1300630987</v>
      </c>
    </row>
    <row r="8" customFormat="false" ht="15" hidden="false" customHeight="true" outlineLevel="0" collapsed="false">
      <c r="A8" s="1" t="s">
        <v>1065</v>
      </c>
      <c r="B8" s="1" t="s">
        <v>1293</v>
      </c>
      <c r="C8" s="1" t="n">
        <v>0.849430065786207</v>
      </c>
      <c r="D8" s="1" t="n">
        <v>0.592377271141922</v>
      </c>
      <c r="E8" s="1" t="n">
        <v>0.334980687927349</v>
      </c>
      <c r="F8" s="1" t="n">
        <v>0.811585012083057</v>
      </c>
      <c r="G8" s="1" t="n">
        <v>0.775781946494312</v>
      </c>
    </row>
    <row r="9" customFormat="false" ht="15" hidden="false" customHeight="true" outlineLevel="0" collapsed="false">
      <c r="A9" s="1" t="s">
        <v>1246</v>
      </c>
      <c r="B9" s="1" t="s">
        <v>1294</v>
      </c>
      <c r="C9" s="1" t="n">
        <v>0.886630847984925</v>
      </c>
      <c r="D9" s="1" t="n">
        <v>0.614859755368999</v>
      </c>
      <c r="E9" s="1" t="n">
        <v>0.346686592333537</v>
      </c>
      <c r="F9" s="1" t="n">
        <v>0.845457173656881</v>
      </c>
      <c r="G9" s="1" t="n">
        <v>0.805420527015318</v>
      </c>
    </row>
    <row r="10" customFormat="false" ht="15" hidden="false" customHeight="true" outlineLevel="0" collapsed="false">
      <c r="A10" s="1" t="s">
        <v>1246</v>
      </c>
      <c r="B10" s="1" t="s">
        <v>1295</v>
      </c>
      <c r="C10" s="1" t="n">
        <v>0.814065029657512</v>
      </c>
      <c r="D10" s="1" t="n">
        <v>0.570751417410872</v>
      </c>
      <c r="E10" s="1" t="n">
        <v>0.323680581043373</v>
      </c>
      <c r="F10" s="1" t="n">
        <v>0.779274929229668</v>
      </c>
      <c r="G10" s="1" t="n">
        <v>0.747299844749028</v>
      </c>
    </row>
    <row r="11" customFormat="false" ht="15" hidden="false" customHeight="true" outlineLevel="0" collapsed="false">
      <c r="A11" s="1" t="s">
        <v>1296</v>
      </c>
      <c r="B11" s="1" t="str">
        <f aca="false">IF(AND(MAX(ABS(C5-Bridge_05!C6),ABS(D5-Bridge_05!D6),ABS(E5-Bridge_05!E6),ABS(F5-Bridge_05!F6),ABS(G5-Bridge_05!G6))&lt;0.01,MAX(ABS(C8-Bridge_05!C5),ABS(D8-Bridge_05!D5),ABS(E8-Bridge_05!E5),ABS(F8-Bridge_05!F5),ABS(G8-Bridge_05!G5))&lt;0.000001),"OK","CHECK")</f>
        <v>OK</v>
      </c>
    </row>
    <row r="12" customFormat="false" ht="15" hidden="false" customHeight="true" outlineLevel="0" collapsed="false">
      <c r="A12" s="1" t="s">
        <v>1297</v>
      </c>
    </row>
    <row r="13" customFormat="false" ht="15" hidden="false" customHeight="true" outlineLevel="0" collapsed="false">
      <c r="B13" s="1" t="s">
        <v>1298</v>
      </c>
      <c r="C13" s="1" t="n">
        <v>0.981357368406644</v>
      </c>
      <c r="D13" s="1" t="n">
        <v>0.975710150624246</v>
      </c>
      <c r="E13" s="1" t="n">
        <v>0.970731623214715</v>
      </c>
      <c r="F13" s="1" t="n">
        <v>0.980432117470712</v>
      </c>
      <c r="G13" s="1" t="n">
        <v>0.978654795175887</v>
      </c>
    </row>
    <row r="14" customFormat="false" ht="15" hidden="false" customHeight="true" outlineLevel="0" collapsed="false">
      <c r="B14" s="1" t="s">
        <v>1299</v>
      </c>
      <c r="C14" s="1" t="n">
        <v>0.982249617368826</v>
      </c>
      <c r="D14" s="1" t="n">
        <v>0.976875499462227</v>
      </c>
      <c r="E14" s="1" t="n">
        <v>0.972107766756204</v>
      </c>
      <c r="F14" s="1" t="n">
        <v>0.981412445474869</v>
      </c>
      <c r="G14" s="1" t="n">
        <v>0.979777965912321</v>
      </c>
    </row>
    <row r="15" customFormat="false" ht="15" hidden="false" customHeight="true" outlineLevel="0" collapsed="false">
      <c r="B15" s="1" t="s">
        <v>1300</v>
      </c>
      <c r="C15" s="1" t="n">
        <v>0.980411032069121</v>
      </c>
      <c r="D15" s="1" t="n">
        <v>0.974458470836321</v>
      </c>
      <c r="E15" s="1" t="n">
        <v>0.969253181401016</v>
      </c>
      <c r="F15" s="1" t="n">
        <v>0.979386839109262</v>
      </c>
      <c r="G15" s="1" t="n">
        <v>0.977447648351352</v>
      </c>
    </row>
    <row r="17" customFormat="false" ht="15" hidden="false" customHeight="true" outlineLevel="0" collapsed="false">
      <c r="B17" s="1" t="s">
        <v>1301</v>
      </c>
      <c r="C17" s="1" t="n">
        <v>0.934493055786497</v>
      </c>
      <c r="D17" s="1" t="n">
        <v>0.783929774273681</v>
      </c>
      <c r="E17" s="1" t="n">
        <v>0.721942390975374</v>
      </c>
      <c r="F17" s="1" t="n">
        <v>0.943491621537909</v>
      </c>
      <c r="G17" s="1" t="n">
        <v>0.804478503197915</v>
      </c>
    </row>
    <row r="18" customFormat="false" ht="15" hidden="false" customHeight="true" outlineLevel="0" collapsed="false">
      <c r="B18" s="1" t="s">
        <v>1302</v>
      </c>
      <c r="C18" s="1" t="n">
        <v>0.935687896906116</v>
      </c>
      <c r="D18" s="1" t="n">
        <v>0.786524475254061</v>
      </c>
      <c r="E18" s="1" t="n">
        <v>0.723659594157164</v>
      </c>
      <c r="F18" s="1" t="n">
        <v>0.944872675902894</v>
      </c>
      <c r="G18" s="1" t="n">
        <v>0.806992318541578</v>
      </c>
    </row>
    <row r="19" customFormat="false" ht="15" hidden="false" customHeight="true" outlineLevel="0" collapsed="false">
      <c r="B19" s="1" t="s">
        <v>1303</v>
      </c>
      <c r="C19" s="1" t="n">
        <v>0.933330731432455</v>
      </c>
      <c r="D19" s="1" t="n">
        <v>0.781387762508662</v>
      </c>
      <c r="E19" s="1" t="n">
        <v>0.720427110330698</v>
      </c>
      <c r="F19" s="1" t="n">
        <v>0.942086743947051</v>
      </c>
      <c r="G19" s="1" t="n">
        <v>0.802019317147145</v>
      </c>
    </row>
    <row r="20" customFormat="false" ht="15" hidden="false" customHeight="true" outlineLevel="0" collapsed="false">
      <c r="B20" s="1" t="s">
        <v>1304</v>
      </c>
      <c r="C20" s="1" t="str">
        <f aca="false">IF(MAX(ABS(C13-Concentration_06!F12),ABS(D13-Concentration_06!F23),ABS(E13-Concentration_06!F34),ABS(F13-Concentration_06!F45),ABS(G13-Concentration_06!F56))&lt;0.0001,"OK","CHECK")</f>
        <v>OK</v>
      </c>
    </row>
    <row r="22" customFormat="false" ht="15" hidden="false" customHeight="true" outlineLevel="0" collapsed="false">
      <c r="B22" s="1" t="s">
        <v>1305</v>
      </c>
    </row>
    <row r="23" customFormat="false" ht="15" hidden="false" customHeight="true" outlineLevel="0" collapsed="false">
      <c r="C23" s="1" t="s">
        <v>1306</v>
      </c>
      <c r="D23" s="1" t="s">
        <v>1307</v>
      </c>
      <c r="E23" s="1" t="s">
        <v>1308</v>
      </c>
      <c r="F23" s="1" t="s">
        <v>1309</v>
      </c>
    </row>
    <row r="24" customFormat="false" ht="15" hidden="false" customHeight="true" outlineLevel="0" collapsed="false">
      <c r="B24" s="1" t="s">
        <v>1310</v>
      </c>
      <c r="C24" s="1" t="n">
        <v>0.454</v>
      </c>
      <c r="D24" s="1" t="n">
        <v>0.51</v>
      </c>
      <c r="E24" s="1" t="n">
        <v>0.691</v>
      </c>
      <c r="F24" s="1" t="n">
        <v>0.76</v>
      </c>
    </row>
    <row r="25" customFormat="false" ht="15" hidden="false" customHeight="true" outlineLevel="0" collapsed="false">
      <c r="B25" s="1" t="s">
        <v>1311</v>
      </c>
      <c r="C25" s="1" t="n">
        <v>0.341</v>
      </c>
      <c r="D25" s="1" t="n">
        <v>0.31</v>
      </c>
      <c r="E25" s="1" t="n">
        <v>0.114</v>
      </c>
      <c r="F25" s="1" t="n">
        <v>0.06</v>
      </c>
    </row>
    <row r="26" customFormat="false" ht="15" hidden="false" customHeight="true" outlineLevel="0" collapsed="false">
      <c r="B26" s="1" t="s">
        <v>1312</v>
      </c>
      <c r="C26" s="1" t="n">
        <v>0.186</v>
      </c>
      <c r="E26" s="1" t="n">
        <v>0.16</v>
      </c>
    </row>
    <row r="27" customFormat="false" ht="15" hidden="false" customHeight="true" outlineLevel="0" collapsed="false">
      <c r="B27" s="1" t="s">
        <v>1313</v>
      </c>
    </row>
    <row r="32" customFormat="false" ht="15" hidden="false" customHeight="true" outlineLevel="0" collapsed="false">
      <c r="B32" s="1" t="s">
        <v>1314</v>
      </c>
    </row>
    <row r="33" customFormat="false" ht="15" hidden="false" customHeight="true" outlineLevel="0" collapsed="false">
      <c r="B33" s="1" t="s">
        <v>673</v>
      </c>
      <c r="C33" s="1" t="s">
        <v>1315</v>
      </c>
      <c r="D33" s="1" t="s">
        <v>1316</v>
      </c>
      <c r="E33" s="1" t="s">
        <v>1317</v>
      </c>
      <c r="F33" s="1" t="s">
        <v>1318</v>
      </c>
    </row>
    <row r="34" customFormat="false" ht="15" hidden="false" customHeight="true" outlineLevel="0" collapsed="false">
      <c r="B34" s="1" t="s">
        <v>1319</v>
      </c>
      <c r="C34" s="1" t="n">
        <v>0.86</v>
      </c>
      <c r="D34" s="1" t="n">
        <v>0.67</v>
      </c>
      <c r="E34" s="1" t="s">
        <v>1320</v>
      </c>
      <c r="F34" s="1" t="n">
        <v>1</v>
      </c>
    </row>
    <row r="35" customFormat="false" ht="15" hidden="false" customHeight="true" outlineLevel="0" collapsed="false">
      <c r="B35" s="1" t="s">
        <v>1321</v>
      </c>
      <c r="C35" s="1" t="n">
        <v>0.5</v>
      </c>
      <c r="D35" s="1" t="n">
        <v>0.68</v>
      </c>
      <c r="E35" s="1" t="s">
        <v>1322</v>
      </c>
      <c r="F35" s="1" t="n">
        <v>4</v>
      </c>
    </row>
    <row r="36" customFormat="false" ht="15" hidden="false" customHeight="true" outlineLevel="0" collapsed="false">
      <c r="B36" s="1" t="s">
        <v>1323</v>
      </c>
      <c r="C36" s="1" t="n">
        <v>0.46</v>
      </c>
      <c r="D36" s="1" t="n">
        <v>0.6</v>
      </c>
      <c r="E36" s="1" t="s">
        <v>1324</v>
      </c>
      <c r="F36" s="1" t="n">
        <v>5</v>
      </c>
    </row>
    <row r="37" customFormat="false" ht="15" hidden="false" customHeight="true" outlineLevel="0" collapsed="false">
      <c r="B37" s="1" t="s">
        <v>1325</v>
      </c>
      <c r="C37" s="1" t="n">
        <v>0.555</v>
      </c>
      <c r="D37" s="1" t="n">
        <v>0.66</v>
      </c>
      <c r="E37" s="1" t="s">
        <v>1326</v>
      </c>
      <c r="F37" s="1" t="n">
        <v>3</v>
      </c>
    </row>
    <row r="38" customFormat="false" ht="15" hidden="false" customHeight="true" outlineLevel="0" collapsed="false">
      <c r="B38" s="1" t="s">
        <v>1327</v>
      </c>
      <c r="C38" s="1" t="n">
        <v>0.77</v>
      </c>
      <c r="D38" s="1" t="s">
        <v>1328</v>
      </c>
      <c r="E38" s="1" t="s">
        <v>1329</v>
      </c>
      <c r="F38" s="1" t="n">
        <v>2</v>
      </c>
    </row>
    <row r="39" customFormat="false" ht="15" hidden="false" customHeight="true" outlineLevel="0" collapsed="false">
      <c r="B39" s="1" t="s">
        <v>1330</v>
      </c>
    </row>
    <row r="40" customFormat="false" ht="15" hidden="false" customHeight="true" outlineLevel="0" collapsed="false">
      <c r="B40" s="1" t="s">
        <v>1331</v>
      </c>
    </row>
    <row r="42" customFormat="false" ht="15" hidden="false" customHeight="true" outlineLevel="0" collapsed="false">
      <c r="B42" s="1" t="s">
        <v>1332</v>
      </c>
    </row>
    <row r="46" customFormat="false" ht="15" hidden="false" customHeight="true" outlineLevel="0" collapsed="false">
      <c r="B46" s="1" t="s">
        <v>1333</v>
      </c>
    </row>
    <row r="47" customFormat="false" ht="15" hidden="false" customHeight="true" outlineLevel="0" collapsed="false">
      <c r="B47" s="1" t="s">
        <v>673</v>
      </c>
      <c r="C47" s="1" t="s">
        <v>1334</v>
      </c>
      <c r="D47" s="1" t="s">
        <v>1335</v>
      </c>
      <c r="E47" s="1" t="s">
        <v>1336</v>
      </c>
    </row>
    <row r="48" customFormat="false" ht="15" hidden="false" customHeight="true" outlineLevel="0" collapsed="false">
      <c r="B48" s="1" t="s">
        <v>1327</v>
      </c>
      <c r="C48" s="1" t="n">
        <v>0.96</v>
      </c>
      <c r="D48" s="1" t="n">
        <v>0.9</v>
      </c>
      <c r="E48" s="1" t="n">
        <v>0.84</v>
      </c>
    </row>
    <row r="49" customFormat="false" ht="15" hidden="false" customHeight="true" outlineLevel="0" collapsed="false">
      <c r="B49" s="1" t="s">
        <v>1319</v>
      </c>
      <c r="C49" s="1" t="n">
        <v>0.99</v>
      </c>
      <c r="D49" s="1" t="n">
        <v>0.92</v>
      </c>
      <c r="E49" s="1" t="n">
        <v>0.86</v>
      </c>
    </row>
    <row r="50" customFormat="false" ht="15" hidden="false" customHeight="true" outlineLevel="0" collapsed="false">
      <c r="B50" s="1" t="s">
        <v>1325</v>
      </c>
      <c r="C50" s="1" t="n">
        <v>1.02</v>
      </c>
      <c r="D50" s="1" t="n">
        <v>0.96</v>
      </c>
      <c r="E50" s="1" t="n">
        <v>0.9</v>
      </c>
    </row>
    <row r="51" customFormat="false" ht="15" hidden="false" customHeight="true" outlineLevel="0" collapsed="false">
      <c r="B51" s="1" t="s">
        <v>1321</v>
      </c>
      <c r="C51" s="1" t="n">
        <v>0.76</v>
      </c>
      <c r="D51" s="1" t="n">
        <v>0.72</v>
      </c>
      <c r="E51" s="1" t="n">
        <v>0.68</v>
      </c>
    </row>
    <row r="52" customFormat="false" ht="15" hidden="false" customHeight="true" outlineLevel="0" collapsed="false">
      <c r="B52" s="1" t="s">
        <v>1323</v>
      </c>
      <c r="C52" s="1" t="n">
        <v>0.42</v>
      </c>
      <c r="D52" s="1" t="n">
        <v>0.39</v>
      </c>
      <c r="E52" s="1" t="n">
        <v>0.37</v>
      </c>
    </row>
    <row r="54" customFormat="false" ht="15" hidden="false" customHeight="true" outlineLevel="0" collapsed="false">
      <c r="B54" s="1" t="s">
        <v>1337</v>
      </c>
    </row>
    <row r="55" customFormat="false" ht="15" hidden="false" customHeight="true" outlineLevel="0" collapsed="false">
      <c r="B55" s="1" t="s">
        <v>673</v>
      </c>
      <c r="C55" s="1" t="s">
        <v>1338</v>
      </c>
      <c r="D55" s="1" t="s">
        <v>1339</v>
      </c>
    </row>
    <row r="56" customFormat="false" ht="15" hidden="false" customHeight="true" outlineLevel="0" collapsed="false">
      <c r="B56" s="1" t="s">
        <v>1327</v>
      </c>
      <c r="C56" s="1" t="n">
        <v>0.9</v>
      </c>
      <c r="D56" s="1" t="n">
        <v>0.91</v>
      </c>
    </row>
    <row r="57" customFormat="false" ht="15" hidden="false" customHeight="true" outlineLevel="0" collapsed="false">
      <c r="B57" s="1" t="s">
        <v>1319</v>
      </c>
      <c r="C57" s="1" t="n">
        <v>0.92</v>
      </c>
      <c r="D57" s="1" t="n">
        <v>0.94</v>
      </c>
    </row>
    <row r="58" customFormat="false" ht="15" hidden="false" customHeight="true" outlineLevel="0" collapsed="false">
      <c r="B58" s="1" t="s">
        <v>1325</v>
      </c>
      <c r="C58" s="1" t="n">
        <v>0.96</v>
      </c>
      <c r="D58" s="1" t="n">
        <v>1.01</v>
      </c>
    </row>
    <row r="59" customFormat="false" ht="15" hidden="false" customHeight="true" outlineLevel="0" collapsed="false">
      <c r="B59" s="1" t="s">
        <v>1321</v>
      </c>
      <c r="C59" s="1" t="n">
        <v>0.72</v>
      </c>
      <c r="D59" s="1" t="n">
        <v>0.76</v>
      </c>
    </row>
    <row r="60" customFormat="false" ht="15" hidden="false" customHeight="true" outlineLevel="0" collapsed="false">
      <c r="B60" s="1" t="s">
        <v>1323</v>
      </c>
      <c r="C60" s="1" t="n">
        <v>0.39</v>
      </c>
      <c r="D60" s="1" t="n">
        <v>0.42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1340</v>
      </c>
    </row>
    <row r="2" customFormat="false" ht="15" hidden="false" customHeight="true" outlineLevel="0" collapsed="false">
      <c r="A2" s="1" t="s">
        <v>1341</v>
      </c>
    </row>
    <row r="4" customFormat="false" ht="15" hidden="false" customHeight="true" outlineLevel="0" collapsed="false">
      <c r="A4" s="1" t="s">
        <v>1342</v>
      </c>
      <c r="B4" s="1" t="s">
        <v>1343</v>
      </c>
      <c r="C4" s="1" t="s">
        <v>841</v>
      </c>
      <c r="D4" s="1" t="s">
        <v>1344</v>
      </c>
      <c r="E4" s="1" t="s">
        <v>1345</v>
      </c>
      <c r="F4" s="1" t="s">
        <v>1346</v>
      </c>
      <c r="G4" s="1" t="s">
        <v>1347</v>
      </c>
      <c r="H4" s="1" t="s">
        <v>1348</v>
      </c>
    </row>
    <row r="5" customFormat="false" ht="15" hidden="false" customHeight="true" outlineLevel="0" collapsed="false">
      <c r="A5" s="1" t="s">
        <v>14</v>
      </c>
      <c r="B5" s="1" t="s">
        <v>1349</v>
      </c>
      <c r="C5" s="1" t="n">
        <v>7</v>
      </c>
      <c r="D5" s="1" t="s">
        <v>60</v>
      </c>
      <c r="E5" s="1" t="s">
        <v>89</v>
      </c>
      <c r="F5" s="1" t="s">
        <v>86</v>
      </c>
      <c r="G5" s="1" t="s">
        <v>1350</v>
      </c>
      <c r="H5" s="1" t="s">
        <v>1351</v>
      </c>
    </row>
    <row r="6" customFormat="false" ht="15" hidden="false" customHeight="true" outlineLevel="0" collapsed="false">
      <c r="A6" s="1" t="s">
        <v>14</v>
      </c>
      <c r="B6" s="1" t="s">
        <v>1352</v>
      </c>
      <c r="C6" s="1" t="n">
        <v>11</v>
      </c>
      <c r="D6" s="1" t="s">
        <v>60</v>
      </c>
      <c r="E6" s="1" t="s">
        <v>89</v>
      </c>
      <c r="F6" s="1" t="s">
        <v>86</v>
      </c>
      <c r="G6" s="1" t="s">
        <v>1350</v>
      </c>
      <c r="H6" s="1" t="s">
        <v>1351</v>
      </c>
    </row>
    <row r="7" customFormat="false" ht="15" hidden="false" customHeight="true" outlineLevel="0" collapsed="false">
      <c r="A7" s="1" t="s">
        <v>14</v>
      </c>
      <c r="B7" s="1" t="s">
        <v>1353</v>
      </c>
      <c r="C7" s="1" t="n">
        <v>15</v>
      </c>
      <c r="D7" s="1" t="s">
        <v>60</v>
      </c>
      <c r="E7" s="1" t="s">
        <v>89</v>
      </c>
      <c r="F7" s="1" t="s">
        <v>86</v>
      </c>
      <c r="G7" s="1" t="s">
        <v>1350</v>
      </c>
      <c r="H7" s="1" t="s">
        <v>1351</v>
      </c>
    </row>
    <row r="8" customFormat="false" ht="15" hidden="false" customHeight="true" outlineLevel="0" collapsed="false">
      <c r="A8" s="1" t="s">
        <v>14</v>
      </c>
      <c r="B8" s="1" t="s">
        <v>1354</v>
      </c>
      <c r="C8" s="1" t="n">
        <v>16</v>
      </c>
      <c r="D8" s="1" t="s">
        <v>60</v>
      </c>
      <c r="E8" s="1" t="s">
        <v>89</v>
      </c>
      <c r="F8" s="1" t="s">
        <v>86</v>
      </c>
      <c r="G8" s="1" t="s">
        <v>1350</v>
      </c>
      <c r="H8" s="1" t="s">
        <v>1351</v>
      </c>
    </row>
    <row r="9" customFormat="false" ht="15" hidden="false" customHeight="true" outlineLevel="0" collapsed="false">
      <c r="A9" s="1" t="s">
        <v>14</v>
      </c>
      <c r="B9" s="1" t="s">
        <v>1355</v>
      </c>
      <c r="C9" s="1" t="n">
        <v>17</v>
      </c>
      <c r="D9" s="1" t="s">
        <v>60</v>
      </c>
      <c r="E9" s="1" t="s">
        <v>89</v>
      </c>
      <c r="F9" s="1" t="s">
        <v>86</v>
      </c>
      <c r="G9" s="1" t="s">
        <v>1350</v>
      </c>
      <c r="H9" s="1" t="s">
        <v>1351</v>
      </c>
    </row>
    <row r="10" customFormat="false" ht="15" hidden="false" customHeight="true" outlineLevel="0" collapsed="false">
      <c r="A10" s="1" t="s">
        <v>14</v>
      </c>
      <c r="B10" s="1" t="s">
        <v>1356</v>
      </c>
      <c r="C10" s="1" t="n">
        <v>18</v>
      </c>
      <c r="D10" s="1" t="s">
        <v>60</v>
      </c>
      <c r="E10" s="1" t="s">
        <v>89</v>
      </c>
      <c r="F10" s="1" t="s">
        <v>86</v>
      </c>
      <c r="G10" s="1" t="s">
        <v>1350</v>
      </c>
      <c r="H10" s="1" t="s">
        <v>1351</v>
      </c>
    </row>
    <row r="11" customFormat="false" ht="15" hidden="false" customHeight="true" outlineLevel="0" collapsed="false">
      <c r="A11" s="1" t="s">
        <v>14</v>
      </c>
      <c r="B11" s="1" t="s">
        <v>1357</v>
      </c>
      <c r="C11" s="1" t="n">
        <v>24</v>
      </c>
      <c r="D11" s="1" t="s">
        <v>60</v>
      </c>
      <c r="E11" s="1" t="s">
        <v>89</v>
      </c>
      <c r="F11" s="1" t="s">
        <v>86</v>
      </c>
      <c r="G11" s="1" t="s">
        <v>1350</v>
      </c>
      <c r="H11" s="1" t="s">
        <v>1351</v>
      </c>
    </row>
    <row r="12" customFormat="false" ht="15" hidden="false" customHeight="true" outlineLevel="0" collapsed="false">
      <c r="A12" s="1" t="s">
        <v>14</v>
      </c>
      <c r="B12" s="1" t="s">
        <v>1358</v>
      </c>
      <c r="C12" s="1" t="n">
        <v>27</v>
      </c>
      <c r="D12" s="1" t="s">
        <v>60</v>
      </c>
      <c r="E12" s="1" t="s">
        <v>89</v>
      </c>
      <c r="F12" s="1" t="s">
        <v>86</v>
      </c>
      <c r="G12" s="1" t="s">
        <v>1350</v>
      </c>
      <c r="H12" s="1" t="s">
        <v>1351</v>
      </c>
    </row>
    <row r="13" customFormat="false" ht="15" hidden="false" customHeight="true" outlineLevel="0" collapsed="false">
      <c r="A13" s="1" t="s">
        <v>14</v>
      </c>
      <c r="B13" s="1" t="s">
        <v>1359</v>
      </c>
      <c r="C13" s="1" t="n">
        <v>32</v>
      </c>
      <c r="D13" s="1" t="s">
        <v>60</v>
      </c>
      <c r="E13" s="1" t="s">
        <v>89</v>
      </c>
      <c r="F13" s="1" t="s">
        <v>86</v>
      </c>
      <c r="G13" s="1" t="s">
        <v>1350</v>
      </c>
      <c r="H13" s="1" t="s">
        <v>1351</v>
      </c>
    </row>
    <row r="14" customFormat="false" ht="15" hidden="false" customHeight="true" outlineLevel="0" collapsed="false">
      <c r="A14" s="1" t="s">
        <v>14</v>
      </c>
      <c r="B14" s="1" t="s">
        <v>1360</v>
      </c>
      <c r="C14" s="1" t="n">
        <v>33</v>
      </c>
      <c r="D14" s="1" t="s">
        <v>60</v>
      </c>
      <c r="E14" s="1" t="s">
        <v>89</v>
      </c>
      <c r="F14" s="1" t="s">
        <v>86</v>
      </c>
      <c r="G14" s="1" t="s">
        <v>1350</v>
      </c>
      <c r="H14" s="1" t="s">
        <v>1351</v>
      </c>
    </row>
    <row r="15" customFormat="false" ht="15" hidden="false" customHeight="true" outlineLevel="0" collapsed="false">
      <c r="A15" s="1" t="s">
        <v>14</v>
      </c>
      <c r="B15" s="1" t="s">
        <v>1361</v>
      </c>
      <c r="C15" s="1" t="n">
        <v>53</v>
      </c>
      <c r="D15" s="1" t="s">
        <v>60</v>
      </c>
      <c r="E15" s="1" t="s">
        <v>89</v>
      </c>
      <c r="F15" s="1" t="s">
        <v>86</v>
      </c>
      <c r="G15" s="1" t="s">
        <v>1350</v>
      </c>
      <c r="H15" s="1" t="s">
        <v>1351</v>
      </c>
    </row>
    <row r="16" customFormat="false" ht="15" hidden="false" customHeight="true" outlineLevel="0" collapsed="false">
      <c r="A16" s="1" t="s">
        <v>14</v>
      </c>
      <c r="B16" s="1" t="s">
        <v>1362</v>
      </c>
      <c r="C16" s="1" t="n">
        <v>57</v>
      </c>
      <c r="D16" s="1" t="s">
        <v>60</v>
      </c>
      <c r="E16" s="1" t="s">
        <v>89</v>
      </c>
      <c r="F16" s="1" t="s">
        <v>86</v>
      </c>
      <c r="G16" s="1" t="s">
        <v>1350</v>
      </c>
      <c r="H16" s="1" t="s">
        <v>1351</v>
      </c>
    </row>
    <row r="17" customFormat="false" ht="15" hidden="false" customHeight="true" outlineLevel="0" collapsed="false">
      <c r="A17" s="1" t="s">
        <v>14</v>
      </c>
      <c r="B17" s="1" t="s">
        <v>1363</v>
      </c>
      <c r="C17" s="1" t="n">
        <v>76</v>
      </c>
      <c r="D17" s="1" t="s">
        <v>60</v>
      </c>
      <c r="E17" s="1" t="s">
        <v>89</v>
      </c>
      <c r="F17" s="1" t="s">
        <v>86</v>
      </c>
      <c r="G17" s="1" t="s">
        <v>1350</v>
      </c>
      <c r="H17" s="1" t="s">
        <v>1351</v>
      </c>
    </row>
    <row r="18" customFormat="false" ht="15" hidden="false" customHeight="true" outlineLevel="0" collapsed="false">
      <c r="A18" s="1" t="s">
        <v>14</v>
      </c>
      <c r="B18" s="1" t="s">
        <v>1364</v>
      </c>
      <c r="C18" s="1" t="n">
        <v>81</v>
      </c>
      <c r="D18" s="1" t="s">
        <v>60</v>
      </c>
      <c r="E18" s="1" t="s">
        <v>89</v>
      </c>
      <c r="F18" s="1" t="s">
        <v>86</v>
      </c>
      <c r="G18" s="1" t="s">
        <v>1350</v>
      </c>
      <c r="H18" s="1" t="s">
        <v>1351</v>
      </c>
    </row>
    <row r="19" customFormat="false" ht="15" hidden="false" customHeight="true" outlineLevel="0" collapsed="false">
      <c r="A19" s="1" t="s">
        <v>14</v>
      </c>
      <c r="B19" s="1" t="s">
        <v>1365</v>
      </c>
      <c r="C19" s="1" t="n">
        <v>85</v>
      </c>
      <c r="D19" s="1" t="s">
        <v>60</v>
      </c>
      <c r="E19" s="1" t="s">
        <v>89</v>
      </c>
      <c r="F19" s="1" t="s">
        <v>86</v>
      </c>
      <c r="G19" s="1" t="s">
        <v>1350</v>
      </c>
      <c r="H19" s="1" t="s">
        <v>1351</v>
      </c>
    </row>
    <row r="20" customFormat="false" ht="15" hidden="false" customHeight="true" outlineLevel="0" collapsed="false">
      <c r="A20" s="1" t="s">
        <v>14</v>
      </c>
      <c r="B20" s="1" t="s">
        <v>1366</v>
      </c>
      <c r="C20" s="1" t="n">
        <v>90</v>
      </c>
      <c r="D20" s="1" t="s">
        <v>60</v>
      </c>
      <c r="E20" s="1" t="s">
        <v>89</v>
      </c>
      <c r="F20" s="1" t="s">
        <v>86</v>
      </c>
      <c r="G20" s="1" t="s">
        <v>1350</v>
      </c>
      <c r="H20" s="1" t="s">
        <v>1351</v>
      </c>
    </row>
    <row r="21" customFormat="false" ht="15" hidden="false" customHeight="true" outlineLevel="0" collapsed="false">
      <c r="A21" s="1" t="s">
        <v>14</v>
      </c>
      <c r="B21" s="1" t="s">
        <v>1367</v>
      </c>
      <c r="C21" s="1" t="n">
        <v>109</v>
      </c>
      <c r="D21" s="1" t="s">
        <v>60</v>
      </c>
      <c r="E21" s="1" t="s">
        <v>89</v>
      </c>
      <c r="F21" s="1" t="s">
        <v>86</v>
      </c>
      <c r="G21" s="1" t="s">
        <v>1350</v>
      </c>
      <c r="H21" s="1" t="s">
        <v>1351</v>
      </c>
    </row>
    <row r="22" customFormat="false" ht="15" hidden="false" customHeight="true" outlineLevel="0" collapsed="false">
      <c r="A22" s="1" t="s">
        <v>14</v>
      </c>
      <c r="B22" s="1" t="s">
        <v>1368</v>
      </c>
      <c r="C22" s="1" t="n">
        <v>111</v>
      </c>
      <c r="D22" s="1" t="s">
        <v>60</v>
      </c>
      <c r="E22" s="1" t="s">
        <v>89</v>
      </c>
      <c r="F22" s="1" t="s">
        <v>86</v>
      </c>
      <c r="G22" s="1" t="s">
        <v>1350</v>
      </c>
      <c r="H22" s="1" t="s">
        <v>1351</v>
      </c>
    </row>
    <row r="23" customFormat="false" ht="15" hidden="false" customHeight="true" outlineLevel="0" collapsed="false">
      <c r="A23" s="1" t="s">
        <v>14</v>
      </c>
      <c r="B23" s="1" t="s">
        <v>1369</v>
      </c>
      <c r="C23" s="1" t="n">
        <v>112</v>
      </c>
      <c r="D23" s="1" t="s">
        <v>60</v>
      </c>
      <c r="E23" s="1" t="s">
        <v>89</v>
      </c>
      <c r="F23" s="1" t="s">
        <v>86</v>
      </c>
      <c r="G23" s="1" t="s">
        <v>1350</v>
      </c>
      <c r="H23" s="1" t="s">
        <v>1351</v>
      </c>
    </row>
    <row r="24" customFormat="false" ht="15" hidden="false" customHeight="true" outlineLevel="0" collapsed="false">
      <c r="A24" s="1" t="s">
        <v>14</v>
      </c>
      <c r="B24" s="1" t="s">
        <v>1370</v>
      </c>
      <c r="C24" s="1" t="n">
        <v>125</v>
      </c>
      <c r="D24" s="1" t="s">
        <v>60</v>
      </c>
      <c r="E24" s="1" t="s">
        <v>89</v>
      </c>
      <c r="F24" s="1" t="s">
        <v>86</v>
      </c>
      <c r="G24" s="1" t="s">
        <v>1350</v>
      </c>
      <c r="H24" s="1" t="s">
        <v>1351</v>
      </c>
    </row>
    <row r="25" customFormat="false" ht="15" hidden="false" customHeight="true" outlineLevel="0" collapsed="false">
      <c r="A25" s="1" t="s">
        <v>14</v>
      </c>
      <c r="B25" s="1" t="s">
        <v>1371</v>
      </c>
      <c r="C25" s="1" t="n">
        <v>129</v>
      </c>
      <c r="D25" s="1" t="s">
        <v>60</v>
      </c>
      <c r="E25" s="1" t="s">
        <v>89</v>
      </c>
      <c r="F25" s="1" t="s">
        <v>86</v>
      </c>
      <c r="G25" s="1" t="s">
        <v>1350</v>
      </c>
      <c r="H25" s="1" t="s">
        <v>1351</v>
      </c>
    </row>
    <row r="26" customFormat="false" ht="15" hidden="false" customHeight="true" outlineLevel="0" collapsed="false">
      <c r="A26" s="1" t="s">
        <v>14</v>
      </c>
      <c r="B26" s="1" t="s">
        <v>1372</v>
      </c>
      <c r="C26" s="1" t="n">
        <v>130</v>
      </c>
      <c r="D26" s="1" t="s">
        <v>60</v>
      </c>
      <c r="E26" s="1" t="s">
        <v>89</v>
      </c>
      <c r="F26" s="1" t="s">
        <v>86</v>
      </c>
      <c r="G26" s="1" t="s">
        <v>1350</v>
      </c>
      <c r="H26" s="1" t="s">
        <v>1351</v>
      </c>
    </row>
    <row r="27" customFormat="false" ht="15" hidden="false" customHeight="true" outlineLevel="0" collapsed="false">
      <c r="A27" s="1" t="s">
        <v>14</v>
      </c>
      <c r="B27" s="1" t="s">
        <v>1373</v>
      </c>
      <c r="C27" s="1" t="n">
        <v>135</v>
      </c>
      <c r="D27" s="1" t="s">
        <v>60</v>
      </c>
      <c r="E27" s="1" t="s">
        <v>89</v>
      </c>
      <c r="F27" s="1" t="s">
        <v>86</v>
      </c>
      <c r="G27" s="1" t="s">
        <v>1350</v>
      </c>
      <c r="H27" s="1" t="s">
        <v>1351</v>
      </c>
    </row>
    <row r="28" customFormat="false" ht="15" hidden="false" customHeight="true" outlineLevel="0" collapsed="false">
      <c r="A28" s="1" t="s">
        <v>14</v>
      </c>
      <c r="B28" s="1" t="s">
        <v>1374</v>
      </c>
      <c r="C28" s="1" t="n">
        <v>36</v>
      </c>
      <c r="D28" s="1" t="s">
        <v>60</v>
      </c>
      <c r="E28" s="1" t="s">
        <v>72</v>
      </c>
      <c r="F28" s="1" t="s">
        <v>86</v>
      </c>
      <c r="G28" s="1" t="s">
        <v>1375</v>
      </c>
      <c r="H28" s="1" t="s">
        <v>1351</v>
      </c>
    </row>
    <row r="29" customFormat="false" ht="15" hidden="false" customHeight="true" outlineLevel="0" collapsed="false">
      <c r="A29" s="1" t="s">
        <v>14</v>
      </c>
      <c r="B29" s="1" t="s">
        <v>1376</v>
      </c>
      <c r="C29" s="1" t="n">
        <v>36</v>
      </c>
      <c r="D29" s="1" t="s">
        <v>1377</v>
      </c>
      <c r="E29" s="1" t="n">
        <v>4</v>
      </c>
      <c r="F29" s="1" t="n">
        <v>2</v>
      </c>
      <c r="G29" s="1" t="s">
        <v>1378</v>
      </c>
      <c r="H29" s="1" t="s">
        <v>1379</v>
      </c>
    </row>
    <row r="30" customFormat="false" ht="15" hidden="false" customHeight="true" outlineLevel="0" collapsed="false">
      <c r="A30" s="1" t="s">
        <v>14</v>
      </c>
      <c r="B30" s="1" t="s">
        <v>1380</v>
      </c>
      <c r="C30" s="1" t="n">
        <v>88</v>
      </c>
      <c r="D30" s="1" t="s">
        <v>60</v>
      </c>
      <c r="E30" s="1" t="s">
        <v>72</v>
      </c>
      <c r="F30" s="1" t="s">
        <v>86</v>
      </c>
      <c r="G30" s="1" t="s">
        <v>1375</v>
      </c>
      <c r="H30" s="1" t="s">
        <v>1351</v>
      </c>
    </row>
    <row r="31" customFormat="false" ht="15" hidden="false" customHeight="true" outlineLevel="0" collapsed="false">
      <c r="A31" s="1" t="s">
        <v>14</v>
      </c>
      <c r="B31" s="1" t="s">
        <v>1381</v>
      </c>
      <c r="C31" s="1" t="n">
        <v>88</v>
      </c>
      <c r="D31" s="1" t="s">
        <v>1377</v>
      </c>
      <c r="E31" s="1" t="n">
        <v>4</v>
      </c>
      <c r="F31" s="1" t="n">
        <v>2</v>
      </c>
      <c r="G31" s="1" t="s">
        <v>1378</v>
      </c>
      <c r="H31" s="1" t="s">
        <v>1379</v>
      </c>
    </row>
    <row r="32" customFormat="false" ht="15" hidden="false" customHeight="true" outlineLevel="0" collapsed="false">
      <c r="A32" s="1" t="s">
        <v>14</v>
      </c>
      <c r="B32" s="1" t="s">
        <v>1382</v>
      </c>
      <c r="C32" s="1" t="n">
        <v>91</v>
      </c>
      <c r="D32" s="1" t="s">
        <v>60</v>
      </c>
      <c r="E32" s="1" t="s">
        <v>72</v>
      </c>
      <c r="F32" s="1" t="s">
        <v>86</v>
      </c>
      <c r="G32" s="1" t="s">
        <v>1375</v>
      </c>
      <c r="H32" s="1" t="s">
        <v>1351</v>
      </c>
    </row>
    <row r="33" customFormat="false" ht="15" hidden="false" customHeight="true" outlineLevel="0" collapsed="false">
      <c r="A33" s="1" t="s">
        <v>14</v>
      </c>
      <c r="B33" s="1" t="s">
        <v>1383</v>
      </c>
      <c r="C33" s="1" t="n">
        <v>91</v>
      </c>
      <c r="D33" s="1" t="s">
        <v>1377</v>
      </c>
      <c r="E33" s="1" t="n">
        <v>4</v>
      </c>
      <c r="F33" s="1" t="n">
        <v>2</v>
      </c>
      <c r="G33" s="1" t="s">
        <v>1378</v>
      </c>
      <c r="H33" s="1" t="s">
        <v>1379</v>
      </c>
    </row>
    <row r="34" customFormat="false" ht="15" hidden="false" customHeight="true" outlineLevel="0" collapsed="false">
      <c r="A34" s="1" t="s">
        <v>14</v>
      </c>
      <c r="B34" s="1" t="s">
        <v>1384</v>
      </c>
      <c r="C34" s="1" t="n">
        <v>92</v>
      </c>
      <c r="D34" s="1" t="s">
        <v>60</v>
      </c>
      <c r="E34" s="1" t="s">
        <v>72</v>
      </c>
      <c r="F34" s="1" t="s">
        <v>86</v>
      </c>
      <c r="G34" s="1" t="s">
        <v>1375</v>
      </c>
      <c r="H34" s="1" t="s">
        <v>1351</v>
      </c>
    </row>
    <row r="35" customFormat="false" ht="15" hidden="false" customHeight="true" outlineLevel="0" collapsed="false">
      <c r="A35" s="1" t="s">
        <v>14</v>
      </c>
      <c r="B35" s="1" t="s">
        <v>1385</v>
      </c>
      <c r="C35" s="1" t="n">
        <v>92</v>
      </c>
      <c r="D35" s="1" t="s">
        <v>1377</v>
      </c>
      <c r="E35" s="1" t="n">
        <v>4</v>
      </c>
      <c r="F35" s="1" t="n">
        <v>2</v>
      </c>
      <c r="G35" s="1" t="s">
        <v>1378</v>
      </c>
      <c r="H35" s="1" t="s">
        <v>1379</v>
      </c>
    </row>
    <row r="36" customFormat="false" ht="15" hidden="false" customHeight="true" outlineLevel="0" collapsed="false">
      <c r="A36" s="1" t="s">
        <v>14</v>
      </c>
      <c r="B36" s="1" t="s">
        <v>1386</v>
      </c>
      <c r="C36" s="1" t="n">
        <v>94</v>
      </c>
      <c r="D36" s="1" t="s">
        <v>60</v>
      </c>
      <c r="E36" s="1" t="s">
        <v>72</v>
      </c>
      <c r="F36" s="1" t="s">
        <v>86</v>
      </c>
      <c r="G36" s="1" t="s">
        <v>1375</v>
      </c>
      <c r="H36" s="1" t="s">
        <v>1351</v>
      </c>
    </row>
    <row r="37" customFormat="false" ht="15" hidden="false" customHeight="true" outlineLevel="0" collapsed="false">
      <c r="A37" s="1" t="s">
        <v>14</v>
      </c>
      <c r="B37" s="1" t="s">
        <v>1387</v>
      </c>
      <c r="C37" s="1" t="n">
        <v>94</v>
      </c>
      <c r="D37" s="1" t="s">
        <v>1377</v>
      </c>
      <c r="E37" s="1" t="n">
        <v>4</v>
      </c>
      <c r="F37" s="1" t="n">
        <v>2</v>
      </c>
      <c r="G37" s="1" t="s">
        <v>1378</v>
      </c>
      <c r="H37" s="1" t="s">
        <v>1379</v>
      </c>
    </row>
    <row r="38" customFormat="false" ht="15" hidden="false" customHeight="true" outlineLevel="0" collapsed="false">
      <c r="A38" s="1" t="s">
        <v>14</v>
      </c>
      <c r="B38" s="1" t="s">
        <v>1388</v>
      </c>
      <c r="C38" s="1" t="n">
        <v>95</v>
      </c>
      <c r="D38" s="1" t="s">
        <v>60</v>
      </c>
      <c r="E38" s="1" t="s">
        <v>72</v>
      </c>
      <c r="F38" s="1" t="s">
        <v>86</v>
      </c>
      <c r="G38" s="1" t="s">
        <v>1375</v>
      </c>
      <c r="H38" s="1" t="s">
        <v>1351</v>
      </c>
    </row>
    <row r="39" customFormat="false" ht="15" hidden="false" customHeight="true" outlineLevel="0" collapsed="false">
      <c r="A39" s="1" t="s">
        <v>14</v>
      </c>
      <c r="B39" s="1" t="s">
        <v>1389</v>
      </c>
      <c r="C39" s="1" t="n">
        <v>95</v>
      </c>
      <c r="D39" s="1" t="s">
        <v>1377</v>
      </c>
      <c r="E39" s="1" t="n">
        <v>4</v>
      </c>
      <c r="F39" s="1" t="n">
        <v>2</v>
      </c>
      <c r="G39" s="1" t="s">
        <v>1378</v>
      </c>
      <c r="H39" s="1" t="s">
        <v>1379</v>
      </c>
    </row>
    <row r="40" customFormat="false" ht="15" hidden="false" customHeight="true" outlineLevel="0" collapsed="false">
      <c r="A40" s="1" t="s">
        <v>14</v>
      </c>
      <c r="B40" s="1" t="s">
        <v>1390</v>
      </c>
      <c r="C40" s="1" t="n">
        <v>96</v>
      </c>
      <c r="D40" s="1" t="s">
        <v>60</v>
      </c>
      <c r="E40" s="1" t="s">
        <v>72</v>
      </c>
      <c r="F40" s="1" t="s">
        <v>86</v>
      </c>
      <c r="G40" s="1" t="s">
        <v>1375</v>
      </c>
      <c r="H40" s="1" t="s">
        <v>1351</v>
      </c>
    </row>
    <row r="41" customFormat="false" ht="15" hidden="false" customHeight="true" outlineLevel="0" collapsed="false">
      <c r="A41" s="1" t="s">
        <v>14</v>
      </c>
      <c r="B41" s="1" t="s">
        <v>1391</v>
      </c>
      <c r="C41" s="1" t="n">
        <v>96</v>
      </c>
      <c r="D41" s="1" t="s">
        <v>1377</v>
      </c>
      <c r="E41" s="1" t="n">
        <v>5</v>
      </c>
      <c r="F41" s="1" t="n">
        <v>4</v>
      </c>
      <c r="G41" s="1" t="s">
        <v>1378</v>
      </c>
      <c r="H41" s="1" t="s">
        <v>1379</v>
      </c>
    </row>
    <row r="42" customFormat="false" ht="15" hidden="false" customHeight="true" outlineLevel="0" collapsed="false">
      <c r="A42" s="1" t="s">
        <v>14</v>
      </c>
      <c r="B42" s="1" t="s">
        <v>1392</v>
      </c>
      <c r="C42" s="1" t="n">
        <v>97</v>
      </c>
      <c r="D42" s="1" t="s">
        <v>60</v>
      </c>
      <c r="E42" s="1" t="s">
        <v>72</v>
      </c>
      <c r="F42" s="1" t="s">
        <v>86</v>
      </c>
      <c r="G42" s="1" t="s">
        <v>1375</v>
      </c>
      <c r="H42" s="1" t="s">
        <v>1351</v>
      </c>
    </row>
    <row r="43" customFormat="false" ht="15" hidden="false" customHeight="true" outlineLevel="0" collapsed="false">
      <c r="A43" s="1" t="s">
        <v>14</v>
      </c>
      <c r="B43" s="1" t="s">
        <v>1393</v>
      </c>
      <c r="C43" s="1" t="n">
        <v>97</v>
      </c>
      <c r="D43" s="1" t="s">
        <v>1377</v>
      </c>
      <c r="E43" s="1" t="n">
        <v>4</v>
      </c>
      <c r="F43" s="1" t="n">
        <v>2</v>
      </c>
      <c r="G43" s="1" t="s">
        <v>1378</v>
      </c>
      <c r="H43" s="1" t="s">
        <v>1379</v>
      </c>
    </row>
    <row r="44" customFormat="false" ht="15" hidden="false" customHeight="true" outlineLevel="0" collapsed="false">
      <c r="A44" s="1" t="s">
        <v>14</v>
      </c>
      <c r="B44" s="1" t="s">
        <v>1394</v>
      </c>
      <c r="C44" s="1" t="n">
        <v>98</v>
      </c>
      <c r="D44" s="1" t="s">
        <v>60</v>
      </c>
      <c r="E44" s="1" t="s">
        <v>72</v>
      </c>
      <c r="F44" s="1" t="s">
        <v>86</v>
      </c>
      <c r="G44" s="1" t="s">
        <v>1375</v>
      </c>
      <c r="H44" s="1" t="s">
        <v>1351</v>
      </c>
    </row>
    <row r="45" customFormat="false" ht="15" hidden="false" customHeight="true" outlineLevel="0" collapsed="false">
      <c r="A45" s="1" t="s">
        <v>14</v>
      </c>
      <c r="B45" s="1" t="s">
        <v>1395</v>
      </c>
      <c r="C45" s="1" t="n">
        <v>98</v>
      </c>
      <c r="D45" s="1" t="s">
        <v>1377</v>
      </c>
      <c r="E45" s="1" t="n">
        <v>4</v>
      </c>
      <c r="F45" s="1" t="n">
        <v>2</v>
      </c>
      <c r="G45" s="1" t="s">
        <v>1378</v>
      </c>
      <c r="H45" s="1" t="s">
        <v>1379</v>
      </c>
    </row>
    <row r="46" customFormat="false" ht="15" hidden="false" customHeight="true" outlineLevel="0" collapsed="false">
      <c r="A46" s="1" t="s">
        <v>14</v>
      </c>
      <c r="B46" s="1" t="s">
        <v>1396</v>
      </c>
      <c r="C46" s="1" t="n">
        <v>100</v>
      </c>
      <c r="D46" s="1" t="s">
        <v>60</v>
      </c>
      <c r="E46" s="1" t="s">
        <v>72</v>
      </c>
      <c r="F46" s="1" t="s">
        <v>86</v>
      </c>
      <c r="G46" s="1" t="s">
        <v>1375</v>
      </c>
      <c r="H46" s="1" t="s">
        <v>1351</v>
      </c>
    </row>
    <row r="47" customFormat="false" ht="15" hidden="false" customHeight="true" outlineLevel="0" collapsed="false">
      <c r="A47" s="1" t="s">
        <v>14</v>
      </c>
      <c r="B47" s="1" t="s">
        <v>1397</v>
      </c>
      <c r="C47" s="1" t="n">
        <v>100</v>
      </c>
      <c r="D47" s="1" t="s">
        <v>1377</v>
      </c>
      <c r="E47" s="1" t="n">
        <v>4</v>
      </c>
      <c r="F47" s="1" t="n">
        <v>2</v>
      </c>
      <c r="G47" s="1" t="s">
        <v>1378</v>
      </c>
      <c r="H47" s="1" t="s">
        <v>1379</v>
      </c>
    </row>
    <row r="48" customFormat="false" ht="15" hidden="false" customHeight="true" outlineLevel="0" collapsed="false">
      <c r="A48" s="1" t="s">
        <v>14</v>
      </c>
      <c r="B48" s="1" t="s">
        <v>1398</v>
      </c>
      <c r="C48" s="1" t="n">
        <v>102</v>
      </c>
      <c r="D48" s="1" t="s">
        <v>60</v>
      </c>
      <c r="E48" s="1" t="s">
        <v>72</v>
      </c>
      <c r="F48" s="1" t="s">
        <v>86</v>
      </c>
      <c r="G48" s="1" t="s">
        <v>1375</v>
      </c>
      <c r="H48" s="1" t="s">
        <v>1351</v>
      </c>
    </row>
    <row r="49" customFormat="false" ht="15" hidden="false" customHeight="true" outlineLevel="0" collapsed="false">
      <c r="A49" s="1" t="s">
        <v>14</v>
      </c>
      <c r="B49" s="1" t="s">
        <v>1399</v>
      </c>
      <c r="C49" s="1" t="n">
        <v>102</v>
      </c>
      <c r="D49" s="1" t="s">
        <v>1377</v>
      </c>
      <c r="E49" s="1" t="n">
        <v>4</v>
      </c>
      <c r="F49" s="1" t="n">
        <v>2</v>
      </c>
      <c r="G49" s="1" t="s">
        <v>1378</v>
      </c>
      <c r="H49" s="1" t="s">
        <v>1379</v>
      </c>
    </row>
    <row r="50" customFormat="false" ht="15" hidden="false" customHeight="true" outlineLevel="0" collapsed="false">
      <c r="A50" s="1" t="s">
        <v>14</v>
      </c>
      <c r="B50" s="1" t="s">
        <v>1400</v>
      </c>
      <c r="C50" s="1" t="n">
        <v>104</v>
      </c>
      <c r="D50" s="1" t="s">
        <v>60</v>
      </c>
      <c r="E50" s="1" t="s">
        <v>72</v>
      </c>
      <c r="F50" s="1" t="s">
        <v>86</v>
      </c>
      <c r="G50" s="1" t="s">
        <v>1375</v>
      </c>
      <c r="H50" s="1" t="s">
        <v>1351</v>
      </c>
    </row>
    <row r="51" customFormat="false" ht="15" hidden="false" customHeight="true" outlineLevel="0" collapsed="false">
      <c r="A51" s="1" t="s">
        <v>14</v>
      </c>
      <c r="B51" s="1" t="s">
        <v>1401</v>
      </c>
      <c r="C51" s="1" t="n">
        <v>104</v>
      </c>
      <c r="D51" s="1" t="s">
        <v>1377</v>
      </c>
      <c r="E51" s="1" t="n">
        <v>4</v>
      </c>
      <c r="F51" s="1" t="n">
        <v>3</v>
      </c>
      <c r="G51" s="1" t="s">
        <v>1378</v>
      </c>
      <c r="H51" s="1" t="s">
        <v>1379</v>
      </c>
    </row>
    <row r="52" customFormat="false" ht="15" hidden="false" customHeight="true" outlineLevel="0" collapsed="false">
      <c r="A52" s="1" t="s">
        <v>14</v>
      </c>
      <c r="B52" s="1" t="s">
        <v>1402</v>
      </c>
      <c r="C52" s="1" t="n">
        <v>105</v>
      </c>
      <c r="D52" s="1" t="s">
        <v>60</v>
      </c>
      <c r="E52" s="1" t="s">
        <v>72</v>
      </c>
      <c r="F52" s="1" t="s">
        <v>86</v>
      </c>
      <c r="G52" s="1" t="s">
        <v>1375</v>
      </c>
      <c r="H52" s="1" t="s">
        <v>1351</v>
      </c>
    </row>
    <row r="53" customFormat="false" ht="15" hidden="false" customHeight="true" outlineLevel="0" collapsed="false">
      <c r="A53" s="1" t="s">
        <v>14</v>
      </c>
      <c r="B53" s="1" t="s">
        <v>1403</v>
      </c>
      <c r="C53" s="1" t="n">
        <v>105</v>
      </c>
      <c r="D53" s="1" t="s">
        <v>1377</v>
      </c>
      <c r="E53" s="1" t="n">
        <v>4</v>
      </c>
      <c r="F53" s="1" t="n">
        <v>2</v>
      </c>
      <c r="G53" s="1" t="s">
        <v>1378</v>
      </c>
      <c r="H53" s="1" t="s">
        <v>1379</v>
      </c>
    </row>
    <row r="54" customFormat="false" ht="15" hidden="false" customHeight="true" outlineLevel="0" collapsed="false">
      <c r="A54" s="1" t="s">
        <v>14</v>
      </c>
      <c r="B54" s="1" t="s">
        <v>1404</v>
      </c>
      <c r="C54" s="1" t="n">
        <v>106</v>
      </c>
      <c r="D54" s="1" t="s">
        <v>60</v>
      </c>
      <c r="E54" s="1" t="s">
        <v>72</v>
      </c>
      <c r="F54" s="1" t="s">
        <v>86</v>
      </c>
      <c r="G54" s="1" t="s">
        <v>1375</v>
      </c>
      <c r="H54" s="1" t="s">
        <v>1351</v>
      </c>
    </row>
    <row r="55" customFormat="false" ht="15" hidden="false" customHeight="true" outlineLevel="0" collapsed="false">
      <c r="A55" s="1" t="s">
        <v>14</v>
      </c>
      <c r="B55" s="1" t="s">
        <v>1405</v>
      </c>
      <c r="C55" s="1" t="n">
        <v>106</v>
      </c>
      <c r="D55" s="1" t="s">
        <v>1377</v>
      </c>
      <c r="E55" s="1" t="n">
        <v>4</v>
      </c>
      <c r="F55" s="1" t="n">
        <v>2</v>
      </c>
      <c r="G55" s="1" t="s">
        <v>1378</v>
      </c>
      <c r="H55" s="1" t="s">
        <v>1379</v>
      </c>
    </row>
    <row r="56" customFormat="false" ht="15" hidden="false" customHeight="true" outlineLevel="0" collapsed="false">
      <c r="A56" s="1" t="s">
        <v>14</v>
      </c>
      <c r="B56" s="1" t="s">
        <v>1406</v>
      </c>
      <c r="C56" s="1" t="n">
        <v>107</v>
      </c>
      <c r="D56" s="1" t="s">
        <v>60</v>
      </c>
      <c r="E56" s="1" t="s">
        <v>72</v>
      </c>
      <c r="F56" s="1" t="s">
        <v>86</v>
      </c>
      <c r="G56" s="1" t="s">
        <v>1375</v>
      </c>
      <c r="H56" s="1" t="s">
        <v>1351</v>
      </c>
    </row>
    <row r="57" customFormat="false" ht="15" hidden="false" customHeight="true" outlineLevel="0" collapsed="false">
      <c r="A57" s="1" t="s">
        <v>14</v>
      </c>
      <c r="B57" s="1" t="s">
        <v>1407</v>
      </c>
      <c r="C57" s="1" t="n">
        <v>107</v>
      </c>
      <c r="D57" s="1" t="s">
        <v>1377</v>
      </c>
      <c r="E57" s="1" t="n">
        <v>4</v>
      </c>
      <c r="F57" s="1" t="n">
        <v>2</v>
      </c>
      <c r="G57" s="1" t="s">
        <v>1378</v>
      </c>
      <c r="H57" s="1" t="s">
        <v>1379</v>
      </c>
    </row>
    <row r="58" customFormat="false" ht="15" hidden="false" customHeight="true" outlineLevel="0" collapsed="false">
      <c r="A58" s="1" t="s">
        <v>14</v>
      </c>
      <c r="B58" s="1" t="s">
        <v>1408</v>
      </c>
      <c r="C58" s="1" t="n">
        <v>12</v>
      </c>
      <c r="D58" s="1" t="s">
        <v>60</v>
      </c>
      <c r="E58" s="1" t="s">
        <v>72</v>
      </c>
      <c r="F58" s="1" t="s">
        <v>89</v>
      </c>
      <c r="G58" s="1" t="s">
        <v>1409</v>
      </c>
      <c r="H58" s="1" t="s">
        <v>1351</v>
      </c>
    </row>
    <row r="59" customFormat="false" ht="15" hidden="false" customHeight="true" outlineLevel="0" collapsed="false">
      <c r="A59" s="1" t="s">
        <v>14</v>
      </c>
      <c r="B59" s="1" t="s">
        <v>1410</v>
      </c>
      <c r="C59" s="1" t="n">
        <v>12</v>
      </c>
      <c r="D59" s="1" t="s">
        <v>1377</v>
      </c>
      <c r="E59" s="1" t="n">
        <v>5</v>
      </c>
      <c r="F59" s="1" t="n">
        <v>5</v>
      </c>
      <c r="G59" s="1" t="s">
        <v>1378</v>
      </c>
      <c r="H59" s="1" t="s">
        <v>1379</v>
      </c>
    </row>
    <row r="61" customFormat="false" ht="15" hidden="false" customHeight="true" outlineLevel="0" collapsed="false">
      <c r="A61" s="1" t="s">
        <v>1411</v>
      </c>
      <c r="B61" s="1" t="n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2026-07-20T22:33:40Z</dcterms:created>
  <dc:creator>openpyxl</dc:creator>
  <dc:description/>
  <dc:language>en-US</dc:language>
  <cp:lastModifiedBy/>
  <dcterms:modified xsi:type="dcterms:W3CDTF">2026-10-13T09:51:42Z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